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790" activeTab="0"/>
  </bookViews>
  <sheets>
    <sheet name="3.2023" sheetId="1" r:id="rId1"/>
    <sheet name="Sheet1" sheetId="2" state="hidden" r:id="rId2"/>
    <sheet name="Tỷ lệ tăng-giảm" sheetId="3" state="hidden" r:id="rId3"/>
  </sheets>
  <definedNames>
    <definedName name="_xlnm.Print_Area" localSheetId="0">'3.2023'!$A$1:$H$3279</definedName>
    <definedName name="_xlnm.Print_Titles" localSheetId="0">'3.2023'!$2:$2</definedName>
  </definedNames>
  <calcPr fullCalcOnLoad="1"/>
</workbook>
</file>

<file path=xl/comments1.xml><?xml version="1.0" encoding="utf-8"?>
<comments xmlns="http://schemas.openxmlformats.org/spreadsheetml/2006/main">
  <authors>
    <author>PHUONG</author>
  </authors>
  <commentList>
    <comment ref="B3255" authorId="0">
      <text>
        <r>
          <rPr>
            <b/>
            <sz val="9"/>
            <rFont val="Tahoma"/>
            <family val="2"/>
          </rPr>
          <t>PHUONG:</t>
        </r>
        <r>
          <rPr>
            <sz val="9"/>
            <rFont val="Tahoma"/>
            <family val="2"/>
          </rPr>
          <t xml:space="preserve">
tháng sau đưa nó xuống</t>
        </r>
      </text>
    </comment>
  </commentList>
</comments>
</file>

<file path=xl/comments3.xml><?xml version="1.0" encoding="utf-8"?>
<comments xmlns="http://schemas.openxmlformats.org/spreadsheetml/2006/main">
  <authors>
    <author>PHUONG</author>
  </authors>
  <commentList>
    <comment ref="B34" authorId="0">
      <text>
        <r>
          <rPr>
            <b/>
            <sz val="9"/>
            <rFont val="Tahoma"/>
            <family val="2"/>
          </rPr>
          <t>PHUONG:</t>
        </r>
        <r>
          <rPr>
            <sz val="9"/>
            <rFont val="Tahoma"/>
            <family val="2"/>
          </rPr>
          <t xml:space="preserve">
tháng sau đưa nó xuống</t>
        </r>
      </text>
    </comment>
  </commentList>
</comments>
</file>

<file path=xl/sharedStrings.xml><?xml version="1.0" encoding="utf-8"?>
<sst xmlns="http://schemas.openxmlformats.org/spreadsheetml/2006/main" count="8739" uniqueCount="3316">
  <si>
    <t>Công ty cổ phần đầu tư và sản xuất HCL - Giá bán đến chân công trình</t>
  </si>
  <si>
    <t>Công ty TNHH công nghệ Delta Việt Nam - Địa chỉ: KCN Phú Nghĩa, Chương Mỹ, Hà Nội - Giá bán tại chân công trình</t>
  </si>
  <si>
    <t>Công ty cổ phần đầu tư Minh Hòa - Địa chỉ: KCN Nam Thăng Long, phường Thuy Phương, quận Từ Liêm, Hà Nội - Giá đến chân công trình</t>
  </si>
  <si>
    <t>Công ty cổ phần tập đoàn sơn HT - Giá bán tại các đại lý phân phối trên địa bàn tỉnh Quảng Trị</t>
  </si>
  <si>
    <t>Công ty TNHH MTV Sơn An Thịnh - Địa chỉ: Số 177, Quốc Lộ 1 A, phường Đông Thanh, thành phố Đông Hà</t>
  </si>
  <si>
    <t>Công ty cổ phần thương mại sơn Ichi Miền Trung - Địa chỉ:  Trần Thị Lý, Hoà Cường Bắc, Hải Châu, Đà Nẵng - Giá chưa tính vận chuyển đến Quảng Trị</t>
  </si>
  <si>
    <t>Công ty TNHH MTV Thủy Nông - Địa chỉ: Đường Trường Chính, Tiểu Khu 3, thị trấn Ái Tử</t>
  </si>
  <si>
    <t>Công ty cổ phần DNP Hawaco - Địa chỉ: Phường Phan Chu Trinh, quận Hoàn Kiếm, Hà Nội - Giá đã bao gồm chi phí vận chuyển giao hàng đến kho bên mua</t>
  </si>
  <si>
    <t>Công ty TNHH MTV Giang Loan - Địa chỉ: Số 126 Trần Hưng Đạo, thị xã Quảng Trị - Giá đến chân công trình</t>
  </si>
  <si>
    <t>CỬA CÁC LOẠI</t>
  </si>
  <si>
    <t>Cửa nhựa lõi thép</t>
  </si>
  <si>
    <t>XIV</t>
  </si>
  <si>
    <t>XV</t>
  </si>
  <si>
    <t>Vách kính cố định</t>
  </si>
  <si>
    <t>Cửa sổ 2 cánh mở trượt</t>
  </si>
  <si>
    <t>Cửa sổ 3 hoặc 4 cánh mở trượt</t>
  </si>
  <si>
    <t>Cửa sổ 1 cánh mở quay hoặc hất</t>
  </si>
  <si>
    <t>Cửa đi 1 cánh mở quay</t>
  </si>
  <si>
    <t>Cửa đi 2 cánh mở quay</t>
  </si>
  <si>
    <t>Cửa đi 4 cánh mở quay</t>
  </si>
  <si>
    <t>Cửa đi 2 cánh mở trượt</t>
  </si>
  <si>
    <t>Cửa đi 4 cánh mở trượt</t>
  </si>
  <si>
    <t>Khóa bán nguyệt, cửa sổ 2 cánh mở trượt</t>
  </si>
  <si>
    <t>Khóa bán nguyệt, cửa sổ 3 hoặc 4 cánh mở trượt</t>
  </si>
  <si>
    <t>Khóa chốt đa điểm, cửa sổ 2 cánh mở trượt</t>
  </si>
  <si>
    <t>Khóa đa điểm, cửa sổ 3 hoặc 4 cánh mở trượt</t>
  </si>
  <si>
    <t>Khóa chốt đa điểm, cửa sổ 1 cánh mở hất hoặc mở quay</t>
  </si>
  <si>
    <t>Khóa, tay nắm mở cài, cửa sổ 1 cánh mở hất</t>
  </si>
  <si>
    <t>Khóa chốt đa điểm, cửa sổ 2 cánh mở quay</t>
  </si>
  <si>
    <t>Khóa 1 điểm, cửa đi 1 cánh mở quay</t>
  </si>
  <si>
    <t>Khóa chốt đa điểm cửa đi 1 cánh mở quay</t>
  </si>
  <si>
    <t>Khóa chốt đa điểm, cửa đi 2 cánh mở quay</t>
  </si>
  <si>
    <t>Khóa chốt đa điểm, cửa đi 2 cánh mở trượt</t>
  </si>
  <si>
    <t>Khóa chốt đa điểm, cửa đi 4 cánh mở trượt</t>
  </si>
  <si>
    <t>Khóa chốt đa điểm, cửa đi 4 cánh mở quay</t>
  </si>
  <si>
    <t>Công ty TNHH Trọng Tín - Xưởng SX tại KCN Nam Đông Hà - Giá bán bao gồm vận chuyển và lắp đặt</t>
  </si>
  <si>
    <t xml:space="preserve">Đá 5x20 </t>
  </si>
  <si>
    <t>Đá dăm 1x2</t>
  </si>
  <si>
    <t>Đá dăm 10x19</t>
  </si>
  <si>
    <t>Giá tại Chi nhánh Công ty cổ phần Thiên Tân - Xí nghiệp chế biến đá xây dựng - Địa chỉ: Km29 - Cam Thành - Cam Lộ</t>
  </si>
  <si>
    <t>Gạch Không nung xi măng cốt liệu - Công ty cổ phần Thiên Tân -  tại Chi nhánh xí nghiệp xây dựng công trình đường 9D, KCN Cam Hiếu - Cam Lộ (Km 10 - Quốc lộ 9D)</t>
  </si>
  <si>
    <t>Gạch không nung Minh Hưng - Công ty CP Minh Hưng Quảng Trị - Giá bán tại - Địa chỉ: Km 8, Quốc Lộ 9, thành phố Đông Hà</t>
  </si>
  <si>
    <t>Gạch Tuynel Đông Hà - Công ty CP Minh Hưng Quảng Trị - Giá bán tại Địa chỉ: Km 8, Quốc Lộ 9, thành phố Đông Hà</t>
  </si>
  <si>
    <t>Gạch Tuynel Minh Hưng - Công ty CP Minh Hưng Quảng Trị - Giá tại Địa chỉ: Số 46 Nguyễn Trãi, thị trấn Ái Tử, huyện Triệu Phong</t>
  </si>
  <si>
    <t xml:space="preserve">Xí nghiệp SX VLXD thuộc Công ty CPXD GT Quảng Trị - Giá tại mỏ khai thác: Km29 Quốc Lộ 9, Cam Thành, Cam Lộ </t>
  </si>
  <si>
    <t>Công ty cổ phần Minh Hưng Quảng Trị - Giá tại địa chỉ: Km8, Quốc Lộ 9, thành phố Đông Hà</t>
  </si>
  <si>
    <t>Giá tại Chi nhánh Công ty cổ phần Thiên Tân - Xí nghiệp SXDVLXD - Địa chỉ: Số 124 Lê Duẩn, Đông Hà</t>
  </si>
  <si>
    <t>200x140x95</t>
  </si>
  <si>
    <t>100x140x95</t>
  </si>
  <si>
    <t>200x100x60</t>
  </si>
  <si>
    <t xml:space="preserve"> 200x95x95</t>
  </si>
  <si>
    <t>200x95x95</t>
  </si>
  <si>
    <t>95x140x200</t>
  </si>
  <si>
    <t>95x95x200</t>
  </si>
  <si>
    <t>60x100x200</t>
  </si>
  <si>
    <t>120x170x270</t>
  </si>
  <si>
    <t>150x200x300</t>
  </si>
  <si>
    <t>100x190x390</t>
  </si>
  <si>
    <t>150x190x390</t>
  </si>
  <si>
    <t>200x190x390</t>
  </si>
  <si>
    <t>50x100x200</t>
  </si>
  <si>
    <t>120x190x390</t>
  </si>
  <si>
    <t>100x160x260</t>
  </si>
  <si>
    <t>130x190x390</t>
  </si>
  <si>
    <t>140x95x200</t>
  </si>
  <si>
    <t>10x20</t>
  </si>
  <si>
    <t>150x300</t>
  </si>
  <si>
    <t>Dmax37,5</t>
  </si>
  <si>
    <t>5x10 (vò)</t>
  </si>
  <si>
    <t>5-10</t>
  </si>
  <si>
    <t>0-5</t>
  </si>
  <si>
    <t>20x40</t>
  </si>
  <si>
    <t>40x60</t>
  </si>
  <si>
    <t>10x19</t>
  </si>
  <si>
    <t>5x20</t>
  </si>
  <si>
    <t>20x4</t>
  </si>
  <si>
    <t>5x10</t>
  </si>
  <si>
    <t>600x300x30;
 400x300x30</t>
  </si>
  <si>
    <t>250x250</t>
  </si>
  <si>
    <t>300x270x60</t>
  </si>
  <si>
    <t>300x270x30</t>
  </si>
  <si>
    <t>250x250x60</t>
  </si>
  <si>
    <t>250x125x60</t>
  </si>
  <si>
    <t>600x600</t>
  </si>
  <si>
    <t>800x800</t>
  </si>
  <si>
    <t>300x600</t>
  </si>
  <si>
    <t>300x300</t>
  </si>
  <si>
    <t>400x400</t>
  </si>
  <si>
    <t>500x500</t>
  </si>
  <si>
    <t>145x600</t>
  </si>
  <si>
    <t>155x800</t>
  </si>
  <si>
    <t>1000x1000</t>
  </si>
  <si>
    <t>600x1200</t>
  </si>
  <si>
    <t>400x800</t>
  </si>
  <si>
    <t>395x800</t>
  </si>
  <si>
    <t>150x800</t>
  </si>
  <si>
    <t>500x500x30</t>
  </si>
  <si>
    <t xml:space="preserve"> 340 x 205 x 13  </t>
  </si>
  <si>
    <t xml:space="preserve"> 370 x 230 x 13  </t>
  </si>
  <si>
    <t xml:space="preserve"> 360 x 170 x 16  </t>
  </si>
  <si>
    <t xml:space="preserve"> 240 x 110 x 125  </t>
  </si>
  <si>
    <t xml:space="preserve"> 200 x 100 x 9  </t>
  </si>
  <si>
    <t xml:space="preserve">150 x 150 x 11  </t>
  </si>
  <si>
    <t xml:space="preserve">270 x 200 x 15  </t>
  </si>
  <si>
    <t xml:space="preserve">Van cổng 2 mặt bích ti chìm không tay OKM Nhật sản xuất tại Malaysia </t>
  </si>
  <si>
    <t>PN10 - Tiêu chuẩn BS5163:2004</t>
  </si>
  <si>
    <t xml:space="preserve">Van cổng 2 mặt bích ti chìm có tay OKM Nhật sản xuất tại Malaysia </t>
  </si>
  <si>
    <t xml:space="preserve">Van 1 chiều mặt bích lá lật OKM Nhật sản xuất tại Malaysia </t>
  </si>
  <si>
    <t>Tiêu chuẩn BSEN12334:2001</t>
  </si>
  <si>
    <t>Van xả khí OKM Nhật sản xuất tại Malaysia</t>
  </si>
  <si>
    <t xml:space="preserve"> Tiêu chuẩn BSEN1074-4:2000</t>
  </si>
  <si>
    <t xml:space="preserve">Van bướm gạt series 612XC OKM Nhật sản xuất tại Malaysia </t>
  </si>
  <si>
    <t>PN10 - Tiêu chuẩn JIB2032</t>
  </si>
  <si>
    <t xml:space="preserve">Van bướm vô lăng series 615X OKM Nhật sản xuất tại Malaysia </t>
  </si>
  <si>
    <t>PN10 - Tiêu chuẩn JISB2032</t>
  </si>
  <si>
    <t xml:space="preserve">Van cửa ren đồng ANA sản xuất tại Thái Lan 1040 </t>
  </si>
  <si>
    <t>Tiêu chuẩn JIS B 2003:1994</t>
  </si>
  <si>
    <t>Van 1 chiều ren đồng ANA sản xuất tại Thái Lan 1110</t>
  </si>
  <si>
    <t xml:space="preserve"> Tiêu chuẩn JIS B 2003:1994</t>
  </si>
  <si>
    <t xml:space="preserve">Van bi tay gạt ANA sản xuất tại Thái Lan 1140-210 </t>
  </si>
  <si>
    <t xml:space="preserve">Van bi tay bướm ANA sản xuất tại Thái Lan 1140-240 </t>
  </si>
  <si>
    <t xml:space="preserve">Rọ đồng ren ANA sản xuất tại Thái Lan - 1210 </t>
  </si>
  <si>
    <t>Vòi tay gạt ANA sản xuất tại Thái Lan</t>
  </si>
  <si>
    <t>Van ba ngả MMM ANA sản xuất tại Thái Lan - 1134</t>
  </si>
  <si>
    <t xml:space="preserve">Van bi mini MF ANA sản xuất tại Thái Lan  1103-240 </t>
  </si>
  <si>
    <t>Van 1 chiều lò xo ANA sản xuất tại Thái Lan - 1170</t>
  </si>
  <si>
    <t>Đồng hồ đo lưu lượng nước hiệu PSM cấp C Tc ISO 4064 do hãng George Kent sản xuất tại Malaysia (Đã bao gồm kiểm định và rắc co</t>
  </si>
  <si>
    <t>Tiêu chuẩn ISO4064</t>
  </si>
  <si>
    <t>Trụ cứu hỏa 3 họng Mai Đông</t>
  </si>
  <si>
    <t>TCVN 6379-1998</t>
  </si>
  <si>
    <t>Phụ kiện mạ kẽm</t>
  </si>
  <si>
    <t>Tiêu chuẩn GB/T24001-2016/ISO14001:2015</t>
  </si>
  <si>
    <t>Ống thép đen Vinapipe/Việt Đức</t>
  </si>
  <si>
    <t>Tiêu chuẩn BS1387/85</t>
  </si>
  <si>
    <t>Ống thép đen Việt Đức</t>
  </si>
  <si>
    <t>Tiêu chuẩn ASTM A53A</t>
  </si>
  <si>
    <t>Ống thép đen Trung Quốc Tc ASTM A53B</t>
  </si>
  <si>
    <t>Tiêu chuẩn ASTM A53B</t>
  </si>
  <si>
    <t xml:space="preserve">Tiêu chuẩn BS1387/85 </t>
  </si>
  <si>
    <t>Ống thép mạ kẽm Vinapipe/Hòa Phát</t>
  </si>
  <si>
    <t>Ống gang cầu (dẻo) miệng bát EU Trung Quốc, L= 6m</t>
  </si>
  <si>
    <t>Tiêu chuẩn ISO2531:2009/ 2531:1998</t>
  </si>
  <si>
    <t>Bu gang BE</t>
  </si>
  <si>
    <t>Bu gang BU</t>
  </si>
  <si>
    <t>Côn gang EE</t>
  </si>
  <si>
    <t>Côn gang BB</t>
  </si>
  <si>
    <t>Cút gang EE 45 độ</t>
  </si>
  <si>
    <t>Cút gang EE 90 độ</t>
  </si>
  <si>
    <t xml:space="preserve">Cút gang BB 45 độ </t>
  </si>
  <si>
    <t xml:space="preserve"> Tiêu chuẩn ISO2531:2009/ 2531:1998</t>
  </si>
  <si>
    <t>Cút gang BB 90 độ</t>
  </si>
  <si>
    <t>Tê gang EEE</t>
  </si>
  <si>
    <t>Tê gang EBE</t>
  </si>
  <si>
    <t>Tê gang BBB</t>
  </si>
  <si>
    <t>Mối nối mềm gang EE sản xuất tại Việt Nam</t>
  </si>
  <si>
    <t xml:space="preserve"> Tiêu chuẩn 1832:2008</t>
  </si>
  <si>
    <t>Tiêu chuẩn 1832:2008</t>
  </si>
  <si>
    <t xml:space="preserve">Mối nối mềm gang BE sản xuất tại Việt Nam  </t>
  </si>
  <si>
    <t>Xi măng Hoàng Mai bao PP (Dự án)</t>
  </si>
  <si>
    <t>Xi măng Hoàng Mai rời PCB CN</t>
  </si>
  <si>
    <t>Xi măng Hoàng Mai PCB30</t>
  </si>
  <si>
    <t>Xi măng Hoàng Mai PCB40</t>
  </si>
  <si>
    <t xml:space="preserve">Thép Tisco </t>
  </si>
  <si>
    <t>D6-8</t>
  </si>
  <si>
    <t>D10</t>
  </si>
  <si>
    <t>D12</t>
  </si>
  <si>
    <t>Thép Hòa Phát</t>
  </si>
  <si>
    <t>Đơn vị phân phối Công ty TNHH Thành Hưng - Địa chỉ: Phường Đông Giang, thành phố Đông Hà - Giá bán tại kho công ty</t>
  </si>
  <si>
    <t>Bê tông thương phẩm M200 đá 1x2 độ sụt (12±3)</t>
  </si>
  <si>
    <t>Tôn nền Bluescope Zacs Hoa Cương, công nghệ inok  AZ100</t>
  </si>
  <si>
    <t xml:space="preserve">Tôn nền Thăng Long – Việt Ý </t>
  </si>
  <si>
    <t>Tôn nền Lạnh trắng Phương Nam AZ100</t>
  </si>
  <si>
    <t>Tôn nền Đông Á AZ50</t>
  </si>
  <si>
    <t>Giá tại Chi nhánh Công ty cổ phần Thiên Tân - Xí nghiệp xây dựng công trình - Địa chỉ: Đường 9D, Cụm CN Cam Hiếu - Cam Lộ</t>
  </si>
  <si>
    <t>Giá tại Chi nhánh Công ty cổ phần Thiên Tân - Xí nghiệp sản xuất vật liệu xây dựng - Địa chỉ: 124 Lê Duẩn, thị xã Quảng Trị</t>
  </si>
  <si>
    <t>1000x350x125</t>
  </si>
  <si>
    <t>D14, 16, 18, 20</t>
  </si>
  <si>
    <t>D22, 25, 28</t>
  </si>
  <si>
    <r>
      <t>m</t>
    </r>
    <r>
      <rPr>
        <vertAlign val="superscript"/>
        <sz val="13"/>
        <rFont val="Times New Roman"/>
        <family val="1"/>
      </rPr>
      <t>2</t>
    </r>
  </si>
  <si>
    <t>(30x60cm) (phẳng) thay sơn</t>
  </si>
  <si>
    <t>(30x60cm) (phẳng bóng thường, vát mép bóng) ốp bộ</t>
  </si>
  <si>
    <t>(30x60cm) (dị hình bóng, matt phẳng, đầu len)</t>
  </si>
  <si>
    <t>(50x50cm)  Khung 1 Màu nhạt</t>
  </si>
  <si>
    <t>(25x50cm) Khung 1</t>
  </si>
  <si>
    <t>250x500</t>
  </si>
  <si>
    <t>(25x50cm) Khung 2</t>
  </si>
  <si>
    <t>(60x60cm) C- mài bóng Khung 1</t>
  </si>
  <si>
    <t>(60x60cm) C- Sugar Khung 1</t>
  </si>
  <si>
    <t>(60x60cm) Khung 1 Sugar basic</t>
  </si>
  <si>
    <t>(60x60cm) Khung 2 Sugar basic</t>
  </si>
  <si>
    <t>(60x60cm)  Khung 1 mạ vàng mạ bạc</t>
  </si>
  <si>
    <t>(60x60cm)  Khung 2 mạ vàng mạ bạc</t>
  </si>
  <si>
    <t>(80x80cm) Khung 1 mạ vàng mạ bạc</t>
  </si>
  <si>
    <t>(80x80cm) Khung 2 mạ vàng mạ bạc</t>
  </si>
  <si>
    <t>Gạch Ceramic ốp tường (30x60cm) KTS thay sơn</t>
  </si>
  <si>
    <t xml:space="preserve">Gạch Ceramic ốp tường (30x60cm) KTS - K2 </t>
  </si>
  <si>
    <t>Gạch Ceramic ốp tường (30x60cm) KTS - K3 chày dị hình</t>
  </si>
  <si>
    <t xml:space="preserve">Gạch lát nền chống trơn (30x30cm) KTS </t>
  </si>
  <si>
    <t>Gạch ốp (25x50cm) Sugar</t>
  </si>
  <si>
    <t>Gạch lát (50x50)SV Ceramic men sugar</t>
  </si>
  <si>
    <t>Gạch lát (30x30)cm</t>
  </si>
  <si>
    <t>Gạch ốp tường KTS (30x60cm) men bóng - ốp thay sơn</t>
  </si>
  <si>
    <t>Gạch ốp tường KTS (30x60cm) - men bóng (VIỀN ĐIỂM)</t>
  </si>
  <si>
    <t xml:space="preserve">Gạch lát (60x60) Bán sứ vi tinh </t>
  </si>
  <si>
    <t>Gạch lát (80x80) Vi tinh màu nhạt</t>
  </si>
  <si>
    <t>Gạch lát (50x50) màu đậm</t>
  </si>
  <si>
    <t>Gạch lát (50x50) màu nhạt</t>
  </si>
  <si>
    <t>Gạch lát (50x50) Sân vườn Sugar</t>
  </si>
  <si>
    <t>Gạch Porcelain (60x60) KSĐ</t>
  </si>
  <si>
    <t>Gạch lát (30x30) men matt, men sần</t>
  </si>
  <si>
    <t>Gạch Porcelain (80x80) Khung 3 đậm</t>
  </si>
  <si>
    <t>Gạch Porcelain (80x80) Khung 4</t>
  </si>
  <si>
    <t xml:space="preserve"> Gạch Granit (40x40) Sân vườn</t>
  </si>
  <si>
    <t xml:space="preserve"> Gạch Granit (40x40) đồng chất bóng mờ</t>
  </si>
  <si>
    <t xml:space="preserve">Gạch Granit (50x50) đồng chất bóng mờ </t>
  </si>
  <si>
    <t>Gạch Granit (30x60) men Matt</t>
  </si>
  <si>
    <t>Gạch VIGLACERA</t>
  </si>
  <si>
    <t>Gạch Granit (80x80) màu đậm sx Nhà máy Tiên Sơn</t>
  </si>
  <si>
    <t>Gạch Granit (80x80) màu nhạt sx Nhà máy Tiên Sơn</t>
  </si>
  <si>
    <t>Gạch Granit (60x60) màu đậm sx Nhà máy Tiên Sơn</t>
  </si>
  <si>
    <t>Gạch Granit (60x60) màu nhạt sx Nhà máy Tiên Sơn</t>
  </si>
  <si>
    <t>Gạch Granit (80x80)  sx Nhà máy Thái Bình</t>
  </si>
  <si>
    <t>Gạch Granit (60x60)  sx Nhà máy Thái Bình</t>
  </si>
  <si>
    <t>GẠCH VINATILE &amp; ELEVEN</t>
  </si>
  <si>
    <t>Gạch (30x60) ốp thay sơn</t>
  </si>
  <si>
    <t>Gạch Porcelain  (60x60) màu nhạt</t>
  </si>
  <si>
    <t>Gạch Porcelain (60x60) màu trung tính</t>
  </si>
  <si>
    <t>Gạch Porcelain (60x60) màu đen tuyền</t>
  </si>
  <si>
    <t>Gạch Porcelain(60x60) màu vân đá đen sẩm</t>
  </si>
  <si>
    <t>Gạch Porcelain(80x80) màu nhạt</t>
  </si>
  <si>
    <t>Gạch Porcelain (80x80) màu trung tính</t>
  </si>
  <si>
    <t>Gạch Porcelain (80x80) màu đậm</t>
  </si>
  <si>
    <t>Gạch ĐẤT VIỆT</t>
  </si>
  <si>
    <t>Gạch lát nền (300x300) mm màu đỏ nhạt</t>
  </si>
  <si>
    <t>Gạch lát nền (300x300) mm màu Chocolate</t>
  </si>
  <si>
    <t xml:space="preserve"> Gạch lát nền (300x300) mm màu kem vàng đặc biệt</t>
  </si>
  <si>
    <t>Gạch lát nền (400x400) mm màu đỏ nhạt</t>
  </si>
  <si>
    <t>Gạch lát nền (500x500)mm màu đỏ nhạt</t>
  </si>
  <si>
    <t>Gạch thẻ (60x240) mm màu đỏ nhạt</t>
  </si>
  <si>
    <t>60x240</t>
  </si>
  <si>
    <t>Gạch thẻ  (60x240) mm màu café</t>
  </si>
  <si>
    <t>Gạch thẻ (60x240)mm màu kem vàng đặc biệt</t>
  </si>
  <si>
    <t>Gạch bậc thềm (400x366) mm màu đỏ nhạt</t>
  </si>
  <si>
    <t>400x366</t>
  </si>
  <si>
    <t>Gạch bậc thềm (300x366) mm màu đỏ nhạt</t>
  </si>
  <si>
    <t>300x366</t>
  </si>
  <si>
    <t>Gạch tráng men (400x400) mm màu đỏ M2</t>
  </si>
  <si>
    <t>Gạch tráng men (400x400) mm màu ghi, màu vàng</t>
  </si>
  <si>
    <t>Gạch tráng men (500x500) mm màu đỏ M2</t>
  </si>
  <si>
    <t>Thẻ tráng men (60x240) mm màu đỏ M2</t>
  </si>
  <si>
    <t>Thẻ tráng men (60x240) mm màu ghi, vàng, café</t>
  </si>
  <si>
    <t>Ngói ĐẤT VIỆT TRÁNG MEN</t>
  </si>
  <si>
    <t>Ngói lợp 22 viên/m2, màu đỏ, ghi, xanh lá cây, đen</t>
  </si>
  <si>
    <t>Ngói lợp 22 viên/m2, màu vàng, xanh ngọc, rêu</t>
  </si>
  <si>
    <t>Ngói nóc 360, màu đỏ, ghi, xanh lá cây, đen</t>
  </si>
  <si>
    <t>Ngói nóc to, màu vàng, xanh ngọc, rêu</t>
  </si>
  <si>
    <t>Ngói sóng INARI</t>
  </si>
  <si>
    <t>Ngói Lợp 1 Màu</t>
  </si>
  <si>
    <t>Ngói Nóc</t>
  </si>
  <si>
    <t>Ngói Rìa</t>
  </si>
  <si>
    <t>Ngói Cuối Rìa</t>
  </si>
  <si>
    <t>Ngói Cuối  Nóc</t>
  </si>
  <si>
    <t>Ngói Cuối Mái</t>
  </si>
  <si>
    <t>Ngói Lót Nóc</t>
  </si>
  <si>
    <t>Ngói chạc 3</t>
  </si>
  <si>
    <t>Ngói phẳng INARI</t>
  </si>
  <si>
    <t xml:space="preserve">Ngói Lợp 1 Màu </t>
  </si>
  <si>
    <t>Ngói Rìa Trái</t>
  </si>
  <si>
    <t>Ngói Rìa Phải</t>
  </si>
  <si>
    <t>Ngói Cuối Nóc</t>
  </si>
  <si>
    <t>Ngói sóng INARI LUXURY</t>
  </si>
  <si>
    <t>Ngói phẳng INARI LUXURY</t>
  </si>
  <si>
    <t>Ngói Lợp 1 Màu -18 viên/ m2</t>
  </si>
  <si>
    <t>Ngói sóng FUCHI</t>
  </si>
  <si>
    <t xml:space="preserve">Ngói Lợp </t>
  </si>
  <si>
    <t>Ngói Cuối  Rìa</t>
  </si>
  <si>
    <t>Ngói chử T</t>
  </si>
  <si>
    <t>Ngói chử Y</t>
  </si>
  <si>
    <t>Ngói chạc Tư</t>
  </si>
  <si>
    <t>Ngói sóng CMC</t>
  </si>
  <si>
    <t>Ngói Lợp Màu CMC</t>
  </si>
  <si>
    <t>Ngói Lợp Màu GALAXY</t>
  </si>
  <si>
    <t>Ngói Chạc 3 (Ký hiệu: CB)</t>
  </si>
  <si>
    <t>Ngói Chữ T (Ký hiệu: T)</t>
  </si>
  <si>
    <t xml:space="preserve">Sơn Jotun </t>
  </si>
  <si>
    <t>Công ty TNHH MTV Lâm sản Khánh Hà - Địa chỉ: Đường Đoàn Khuê, Phường 5, thành phố Đông Hà - Giá bán tại chân công trình</t>
  </si>
  <si>
    <t>Essen - Ngoại thất bền màu đẹp (7L)</t>
  </si>
  <si>
    <t>Sơn ngoại thất Jotatought - Chống rêu, nấm mốc, màu sắc đa dạng (17L)</t>
  </si>
  <si>
    <t>Sơn nội thất Essen - Dễ lau chùi (17L)</t>
  </si>
  <si>
    <t>Sơn nội thất Jotaplast - Màu tiêu chuẩn và siêu trắng, chống nấm mốc (17L)</t>
  </si>
  <si>
    <t>Jotashield primer - Sơn lót ngoại thất chống kiềm cao cấp 17L)</t>
  </si>
  <si>
    <t>Majestic primer - Sơn lót nội thất chống kiềm cao cấp (17L)</t>
  </si>
  <si>
    <t>Essence sơn lớt chống kiềm (17L)</t>
  </si>
  <si>
    <t>MYKOLOR NANA FILLER FOR INTERIOR &amp; EXTERIOR (Bột trét cao cấp nội &amp; ngoại thất)</t>
  </si>
  <si>
    <t>MYKOLOR NANA SEALER FOR INTERIOR  (Son lót chống kiềm nội thất cao cấp</t>
  </si>
  <si>
    <t>MYKOLOR NANA SPECIAL PRIMER FOR EXT (Sơn lót kháng kiềm, kháng muối cao cấp)</t>
  </si>
  <si>
    <t>MYKOLOR NANA BRONZE FOR INTERIOR  (Sơn nước nội thất mờ sang trọng)</t>
  </si>
  <si>
    <t>MYKOLOR NANA SILVER FOR EXTERIOR  (Sơn nước ngoại thất cao cấp bền đẹp)</t>
  </si>
  <si>
    <t>MYKOLOR NANA HARDSEAL FOR EXTERIOR  (Sơn nước ngoại thất chống thấm đa năng, pha xi măng)</t>
  </si>
  <si>
    <t>Sơn Mykolor Nana</t>
  </si>
  <si>
    <t>Công ty TNHH MTV JP Thành An - Giá bán tại chân công trình</t>
  </si>
  <si>
    <t>17.5L</t>
  </si>
  <si>
    <t>So sánh</t>
  </si>
  <si>
    <t>Gạch lát nền Pocelain men mờ 800x800
8080NAPOLEON003-H+/004-H+/005-H+/006-H+/009-H+/010-H+/011-H+/012-H+/014-H+</t>
  </si>
  <si>
    <t>Gạch lát nền Pocelain mài bóng 800x800
8080TRUONGSON001/002-FP-H+; 8080CARARAS001/002/003-FP-H+; 8080SNOW001-FP-H+</t>
  </si>
  <si>
    <t>Gạch lát nền Pocelain bóng kiếng 2 da 800x800
8080MARMOL005; 8080DB038</t>
  </si>
  <si>
    <t>Gạch lát nền Pocelain men mờ 600x600
6060DAMT001/002/003/004/005/006</t>
  </si>
  <si>
    <t>Gạch lát nền Pocelain mài bóng 600x600
6060MNDA001-FP/002-FP/003-FP/004-FP/005-FP</t>
  </si>
  <si>
    <t>Gạch lát nền Pocelain bóng kiếng 2 da 600x600
6060DB006/014/038</t>
  </si>
  <si>
    <t>Gạch lát nền Pocelain men mờ 400x400
4040THACHANH001/002/004/006/007/008</t>
  </si>
  <si>
    <t>Gạch lát nền Ceramic men mờ 300x300
3030TAMDAO001; 3030NGOCTRAI001/002</t>
  </si>
  <si>
    <t>Gạch ốp tường Ceramic men bóng 400x800
4080SNOW001-H+/002-H+; 4080CARARAS001-H+/002-H+/003-H+</t>
  </si>
  <si>
    <t>Gạch ốp tường Pocelain men mờ 300x600
3060DAMT001/002/003/004/005/006</t>
  </si>
  <si>
    <t>Gạch ốp tường Ceramic men bóng 300x600
3060DELUXE001/002/003/004/006/007/008/009</t>
  </si>
  <si>
    <t>Keo dán tường</t>
  </si>
  <si>
    <t>Keo dán nền</t>
  </si>
  <si>
    <t>Bột chà ron</t>
  </si>
  <si>
    <t>Ngói bê tông</t>
  </si>
  <si>
    <t>Ngói tráng men</t>
  </si>
  <si>
    <t>800x800 cm</t>
  </si>
  <si>
    <t>600x600 cm</t>
  </si>
  <si>
    <t>400x400 cm</t>
  </si>
  <si>
    <t>300x300 cm</t>
  </si>
  <si>
    <t>400x800 cm</t>
  </si>
  <si>
    <t>300x600 cm</t>
  </si>
  <si>
    <t>Bao 25kg</t>
  </si>
  <si>
    <t>Bao 5kg</t>
  </si>
  <si>
    <t>330x420 cm</t>
  </si>
  <si>
    <t>Gạch ốp, lát Đồng Tâm</t>
  </si>
  <si>
    <t>Bestmax</t>
  </si>
  <si>
    <t>Công ty TNHH MTV 68 Ngọc Hoàng - Giá bán tại cửa hàng, địa chỉ: Đường Nguyễn Phúc Nguyên, khu phố 11, phường 5, thành phố Đông Hà</t>
  </si>
  <si>
    <t>Bestmax Primer - Interior - Sơn lót kháng kiềm nội thất cao cấp</t>
  </si>
  <si>
    <t>Bestmax Super White - Interior - Sơn siêu trắng trần cao cấp</t>
  </si>
  <si>
    <t>Bestmax Economy - Exterior - Sơn kinh tế ngoại thất</t>
  </si>
  <si>
    <t xml:space="preserve">Bestmax Economy - Interior - Sơn phủ nội thất kinh tế </t>
  </si>
  <si>
    <t>Bestmax Blurry - Exterior - Sơn bóng mờ ngoại thất cao cấp</t>
  </si>
  <si>
    <t>Bestmax Primer - Exterior - Sơn lót kháng kiềm ngoại thất cao cấp</t>
  </si>
  <si>
    <t>Bột bả nội, ngoại thất</t>
  </si>
  <si>
    <t>120x320x16</t>
  </si>
  <si>
    <t>100x300x16</t>
  </si>
  <si>
    <t>80x240x16</t>
  </si>
  <si>
    <t>Chi nhánh Công ty TNHH MTV Nhất Long Quảng Trị
Giá tại của hàng, địa chỉ: 518 Lê Duẩn , Đông Hà, Quảng Trị</t>
  </si>
  <si>
    <t>Dài (190-366)cm
Rộng (54-92)cm
Dày (1.8-1.8)cm</t>
  </si>
  <si>
    <t>Dài (190-366)cm
Rộng (54-92)cm
Dày (1.6-1.8)cm</t>
  </si>
  <si>
    <t>Đá Granite đánh bóng một mặt - Đen rừng (River Black) - Nhập khẩu 
Ấn Độ</t>
  </si>
  <si>
    <t>Đá granite đánh bóng một mặt  - Đen Ấn Độ dài (Absolute Black Long) - Nhập khẩu 
Ấn Độ</t>
  </si>
  <si>
    <t>Đá granite đánh bóng một mặt - Đen Ấn Độ ngắn (Absolute Black Short) - Nhập khẩu 
Ấn Độ</t>
  </si>
  <si>
    <t>Đá Granite đánh bóng một mặt - Vàng (Caniyan Gold) - Nhập khẩu 
Ấn Độ</t>
  </si>
  <si>
    <t>Đá Granite đánh bóng một mặt - Đen kim sa dài (Black Galaxy Long) - Nhập khẩu 
Ấn Độ</t>
  </si>
  <si>
    <t>Đá granite đánh bóng một mặt - Đen kim sa ngắn (Black Galaxy Short) - Nhập khẩu 
Ấn Độ</t>
  </si>
  <si>
    <t>Đá Granite đánh bóng một mặt - Vàng Hoàng Gia (Imperial Gold) - Nhập khẩu 
Ấn Độ</t>
  </si>
  <si>
    <t>Đá Granite đánh bóng một mặt (Himalayan Blue) - Nhập khẩu 
Ấn Độ</t>
  </si>
  <si>
    <t>Đá Granite đánh bóng một mặt  - Đen G20 (G20 Black) - Nhập khẩu 
Ấn Độ</t>
  </si>
  <si>
    <t>Đá Granite đánh bóng một mặt - Đen nhiệt đới (Black Markino) - Nhập khẩu 
Ấn Độ</t>
  </si>
  <si>
    <t>Đá Granite đánh bóng một mặt (Blue Dunes) - Nhập khẩu 
Ấn Độ</t>
  </si>
  <si>
    <t>Đá Granite đánh bóng một mặt - Đen Cá (Fish Black) - Nhập khẩu 
Ấn Độ</t>
  </si>
  <si>
    <t>Đá Granite đánh bóng một mặt - Đỏ Ấn Độ dài (Ruby Red Long) - Nhập khẩu 
Ấn Độ</t>
  </si>
  <si>
    <t>Đá Granite đánh bóng một mặt - Đỏ Ấn Độ ngắn (Ruby Red Short) - Nhập khẩu 
Ấn Độ</t>
  </si>
  <si>
    <t>Đá Granite đánh bóng một mặt - Xanh ngọc dài (Hassan Green Long) - Nhập khẩu 
Ấn Độ</t>
  </si>
  <si>
    <t>Đá Granite đánh bóng một mặt - Xanh ngọc ngắn (Hassan Green Short) - Nhập khẩu 
Ấn Độ</t>
  </si>
  <si>
    <t>Đá Granite đánh bóng một mặt (Đỏ nhuộm) - Nhập khẩu Trung Quốc</t>
  </si>
  <si>
    <t>Gạch ốp lát Porcelain có tráng men - CHARCOAL ALP (đen) - Nhập khẩu 
Ấn Độ</t>
  </si>
  <si>
    <t>Gạch ốp lát Porcelain có tráng men - GOLDEN POSA (trắng) - Nhập khẩu 
Ấn Độ</t>
  </si>
  <si>
    <t>Gạch ốp lát Porcelain có tráng men - SUITE CARRARA (trắng) - Nhập khẩu 
Ấn Độ</t>
  </si>
  <si>
    <t>Gạch ốp lát Porcelain có tráng men - ASACIA (trắng) - Nhập khẩu 
Ấn Độ</t>
  </si>
  <si>
    <t>Gạch ốp lát Porcelain có tráng men - BLACK BEAUTY (đen) - Nhập khẩu 
Ấn Độ</t>
  </si>
  <si>
    <t>Hệ thống hố thu nước mưa và ngăn mùi hợp khối Kt: 780x380x1000mm (lắp đặt cho hệ thống thoát nước đường hẻm).</t>
  </si>
  <si>
    <t>Hệ thống hố thu nước mưa và ngăn mùi hợp khối Kt: 780x380x1250mm (lắp đặt cho hệ thống thoát nước vỉa hè).</t>
  </si>
  <si>
    <t>Hệ thống hố thu nước mưa và ngăn mùi hợp khối Kt: 780x380x1470mm (lắp đặt cho hệ thống thoát nước lòng đường).</t>
  </si>
  <si>
    <t>Cấu kiện kè bê tông cốt sợi H=4m - L=1,5m</t>
  </si>
  <si>
    <t>Cấu kiện kè bê tông cốt sợi H=5m - L=1,0m</t>
  </si>
  <si>
    <t>Sơn Zutton</t>
  </si>
  <si>
    <t>Công ty TNHH MTV JP Thành An - Giá bán tại cửa hàng, địa chỉ: Số 74 đường Trần Phú, thị trấn Hồ Xá, huyện Vĩnh Linh</t>
  </si>
  <si>
    <t>Zuo.1 Bột bả cao cấp trong nhà</t>
  </si>
  <si>
    <t>Zuo.2 Bột bả cao cấp ngoài nhà</t>
  </si>
  <si>
    <t>Zu10.1 Sơn nội thất cao cấp</t>
  </si>
  <si>
    <t>23kg</t>
  </si>
  <si>
    <t>Zu10.3 Sơn nội thất lau chùi hiệu quả</t>
  </si>
  <si>
    <t>Zu10.6 Sơn mịn ngoại thất cao cấp</t>
  </si>
  <si>
    <t>Zu10.77 Sơn lót kháng kiềm nội thất</t>
  </si>
  <si>
    <t>Zu10.79 Sơn lót kháng kiềm ngoại thất</t>
  </si>
  <si>
    <t>Zu10.8 Sơn chống thấm đa năng</t>
  </si>
  <si>
    <t>Đá 5x20 vò</t>
  </si>
  <si>
    <t>Cột thép bát giác, tròn côn cao 9m - D78 - 3,5mm</t>
  </si>
  <si>
    <t>Mạ kẽm nhúng nóng theo tiêu chuẩn ASTM A123. Phù hợp với: TCCS 01:2020/HAPULICO(Theo Catalogue HAPULICO)</t>
  </si>
  <si>
    <t>Đèn Led TOBY 130 - 145</t>
  </si>
  <si>
    <t>Đèn Led LUNA PC 45 - 50</t>
  </si>
  <si>
    <t>Đèn pha Led SAMBA 320</t>
  </si>
  <si>
    <t>XVII</t>
  </si>
  <si>
    <t>Công ty cổ phần công nghiệp Vạn Phát Hưng - Giá bán tại chân công trình, chưa bao gồm chi phí nhân công, máy móc, thiết bị lắp dựng</t>
  </si>
  <si>
    <t>Hệ trần nổi</t>
  </si>
  <si>
    <t>Hệ trần chìm</t>
  </si>
  <si>
    <t>ASTM C635</t>
  </si>
  <si>
    <t>Khung phổ thông, tấm thạch cao kim tuyến laser</t>
  </si>
  <si>
    <t>Khung rãnh đen không ngã tư, tấm thạch cao kim tuyến laser</t>
  </si>
  <si>
    <t>Khung màu đen, tấm thạch cao kim tuyến laser</t>
  </si>
  <si>
    <t>Khung rãnh đen có ngã tư, tấm thạch cao kim tuyến laser</t>
  </si>
  <si>
    <t>Khung cao cấp, tấm thạch cao kim tuyến laser</t>
  </si>
  <si>
    <t>Khung phổ thông, tấm UCO kim tuyến laser</t>
  </si>
  <si>
    <t>Khung rãnh đen không ngã tư, tấm UCO kim tuyến laser</t>
  </si>
  <si>
    <t>Khung màu đen, tấm UCO kim tuyến laser</t>
  </si>
  <si>
    <t>Khung rãnh đen có ngã tư, tấm UCO kim tuyến laser</t>
  </si>
  <si>
    <t>Khung cao cấp, tấm UCO kim tuyến laser</t>
  </si>
  <si>
    <t>Khung trần chìm đồng dạng, tấm thạch cao GS/Knauf/Boral chống ẩm 9mm</t>
  </si>
  <si>
    <t>Khung trần chìm đồng dạng, tấm thạch cao GS/Knauf/Boral tiêu chuẩn 9mm</t>
  </si>
  <si>
    <t>Khung trần chìm xương cá, thanh U M38 tấm thạch cao GS/Knauf/Boral tiêu chuẩn 9mm</t>
  </si>
  <si>
    <t>Khung trần chìm xương cá, thanh U M38 tấm thạch cao GS/Knauf/Boral chống ẩm 9mm</t>
  </si>
  <si>
    <t>Dây điện, cáp điện Cadivi</t>
  </si>
  <si>
    <t>Công ty cổ phần dây cáp điện Việt Nam - Giá bán tại chân công trình</t>
  </si>
  <si>
    <t>Cáp điện</t>
  </si>
  <si>
    <t>Công ty TNHH MTV 43 - Giá bán tại chân công trình</t>
  </si>
  <si>
    <t>Van lật ngăn mùi</t>
  </si>
  <si>
    <t>Nhựa HDPE, DN200</t>
  </si>
  <si>
    <t>Nhựa HDPE, DN250</t>
  </si>
  <si>
    <t>Nhựa HDPE, DN315</t>
  </si>
  <si>
    <t>Công ty TNHH Vinh Gia Phát - Giá bán tại cửa hàng VLXD TP ĐH</t>
  </si>
  <si>
    <t>TCCS 01:2002/VGP.co</t>
  </si>
  <si>
    <t>Công ty cổ phần Bestmix – CN Miền Trung - Giá bán tại đại lý Công ty TNHH MTV BM Song Phương - 111 Trần Hưng Đạo, Phường 1, TP ĐH</t>
  </si>
  <si>
    <t>SẢN PHẨM PHỤ GIA</t>
  </si>
  <si>
    <t>Super R7</t>
  </si>
  <si>
    <t>lít</t>
  </si>
  <si>
    <t>ASTM C4940:2017</t>
  </si>
  <si>
    <t>Chống thấm và trám bít</t>
  </si>
  <si>
    <t>Bê tông - xi măng</t>
  </si>
  <si>
    <t xml:space="preserve">BestLatex R114 </t>
  </si>
  <si>
    <t xml:space="preserve">BestLatex R126 </t>
  </si>
  <si>
    <t>Thập DN100</t>
  </si>
  <si>
    <t xml:space="preserve">0,50mm x 1090mm/1075mm </t>
  </si>
  <si>
    <t xml:space="preserve">0,40mm x 1090mm/1075mm </t>
  </si>
  <si>
    <t>Tôn Zacs Bền màu Công nghệ Inok AZ100</t>
  </si>
  <si>
    <t xml:space="preserve">0,30mm x 1090mm/1075mm </t>
  </si>
  <si>
    <t>Tôn Thăng Long – Việt Ý</t>
  </si>
  <si>
    <t xml:space="preserve">0,35mm x 1090mm/1075mm </t>
  </si>
  <si>
    <t xml:space="preserve">0,42mm x 1090mm/1075mm </t>
  </si>
  <si>
    <t xml:space="preserve">0,25mm x 1090mm/1075mm </t>
  </si>
  <si>
    <t>Tôn Việt Nhật Trung Quốc</t>
  </si>
  <si>
    <t>Tôn Lạnh trắng Nam Kim hoặc Pomina AZ70</t>
  </si>
  <si>
    <t xml:space="preserve">Ống và phụ tùng uPVC </t>
  </si>
  <si>
    <t>Công ty cổ phần nhựa Thiếu Niên Tiền Phong - Địa chỉ nhà máy sản xuất:  Quận Dương Kính, thành phố Hải Phòng - Giá bán tại chân công trình</t>
  </si>
  <si>
    <t>Ống uPVC DN21 NTC</t>
  </si>
  <si>
    <t>M</t>
  </si>
  <si>
    <t>ISO1452-2:2009</t>
  </si>
  <si>
    <t>Ống uPVC DN21 PN10</t>
  </si>
  <si>
    <t>Ống uPVC DN21 PN12.5</t>
  </si>
  <si>
    <t>Ống uPVC DN21 PN16</t>
  </si>
  <si>
    <t>Ống uPVC DN21 PN25</t>
  </si>
  <si>
    <t>Ống uPVC DN27 NTC</t>
  </si>
  <si>
    <t>Ống uPVC DN27 PN10</t>
  </si>
  <si>
    <t>Ống uPVC DN27 PN12.5</t>
  </si>
  <si>
    <t>Ống uPVC DN27 PN16</t>
  </si>
  <si>
    <t>Ống uPVC DN27 PN25</t>
  </si>
  <si>
    <t>Ống uPVC DN34 NTC</t>
  </si>
  <si>
    <t xml:space="preserve">Ống uPVC DN34 PN8 </t>
  </si>
  <si>
    <t>Ống uPVC DN34 PN10</t>
  </si>
  <si>
    <t>Ống uPVC DN34 PN12.5</t>
  </si>
  <si>
    <t>Ống uPVC DN34 PN16</t>
  </si>
  <si>
    <t>Ống uPVC DN34 PN25</t>
  </si>
  <si>
    <t>Ống uPVC DN42 NTC</t>
  </si>
  <si>
    <t>Ống uPVC DN42 PN6</t>
  </si>
  <si>
    <t xml:space="preserve">Ống uPVC DN42 PN8 </t>
  </si>
  <si>
    <t>Ống uPVC DN42 PN10</t>
  </si>
  <si>
    <t>Ống uPVC DN42 PN12.5</t>
  </si>
  <si>
    <t>Ống uPVC DN42 PN16</t>
  </si>
  <si>
    <t>Ống uPVC DN42 PN25</t>
  </si>
  <si>
    <t>Ống uPVC DN48 NTC</t>
  </si>
  <si>
    <t>Ống uPVC DN48 PN6</t>
  </si>
  <si>
    <t xml:space="preserve">Ống uPVC DN48 PN8 </t>
  </si>
  <si>
    <t>Ống uPVC DN48 PN10</t>
  </si>
  <si>
    <t>Ống uPVC DN48 PN12.5</t>
  </si>
  <si>
    <t>Ống uPVC DN48 PN16</t>
  </si>
  <si>
    <t>Ống uPVC DN48 PN25</t>
  </si>
  <si>
    <t>Ống uPVC DN60 NTC</t>
  </si>
  <si>
    <t>Ống uPVC DN60 PN5</t>
  </si>
  <si>
    <t>Ống uPVC DN60 PN6</t>
  </si>
  <si>
    <t xml:space="preserve">Ống uPVC DN60 PN8 </t>
  </si>
  <si>
    <t>Ống uPVC DN60 PN10</t>
  </si>
  <si>
    <t>Ống uPVC DN60 PN12.5</t>
  </si>
  <si>
    <t>Ống uPVC DN60 PN16</t>
  </si>
  <si>
    <t>Ống uPVC DN60 PN25</t>
  </si>
  <si>
    <t>Ống uPVC DN63 PN5</t>
  </si>
  <si>
    <t>Ống uPVC DN63 PN6</t>
  </si>
  <si>
    <t xml:space="preserve">Ống uPVC DN63 PN8 </t>
  </si>
  <si>
    <t>Ống uPVC DN63 PN10</t>
  </si>
  <si>
    <t>Ống uPVC DN63 PN12.5</t>
  </si>
  <si>
    <t>Ống uPVC DN63 PN16</t>
  </si>
  <si>
    <t>Ống uPVC DN75 NTC</t>
  </si>
  <si>
    <t>Ống uPVC DN75 PN5</t>
  </si>
  <si>
    <t>Ống uPVC DN75 PN6</t>
  </si>
  <si>
    <t xml:space="preserve">Ống uPVC DN75 PN8 </t>
  </si>
  <si>
    <t>Ống uPVC DN75 PN10</t>
  </si>
  <si>
    <t>Ống uPVC DN75 PN12.5</t>
  </si>
  <si>
    <t>Ống uPVC DN75 PN16</t>
  </si>
  <si>
    <t>Ống uPVC DN75 PN25</t>
  </si>
  <si>
    <t>Ống uPVC DN90 NTC</t>
  </si>
  <si>
    <t>Ống uPVC DN90 PN4</t>
  </si>
  <si>
    <t>Ống uPVC DN90 PN5</t>
  </si>
  <si>
    <t>Ống uPVC DN90 PN6</t>
  </si>
  <si>
    <t xml:space="preserve">Ống uPVC DN90 PN8 </t>
  </si>
  <si>
    <t>Ống uPVC DN90 PN10</t>
  </si>
  <si>
    <t>Ống uPVC DN90 PN12.5</t>
  </si>
  <si>
    <t>Ống uPVC DN90 PN16</t>
  </si>
  <si>
    <t>Ống uPVC DN90 PN25</t>
  </si>
  <si>
    <t>Ống uPVC DN110 NTC</t>
  </si>
  <si>
    <t>Ống uPVC DN110 PN4</t>
  </si>
  <si>
    <t>Ống uPVC DN110 PN5</t>
  </si>
  <si>
    <t>Ống uPVC DN110 PN6</t>
  </si>
  <si>
    <t xml:space="preserve">Ống uPVC DN110 PN8 </t>
  </si>
  <si>
    <t>Ống uPVC DN110 PN10</t>
  </si>
  <si>
    <t>Ống uPVC DN110 PN12.5</t>
  </si>
  <si>
    <t>Ống uPVC DN110 PN16</t>
  </si>
  <si>
    <t>Ống uPVC DN110 PN25</t>
  </si>
  <si>
    <t>Ống và phụ tùng HDPE</t>
  </si>
  <si>
    <t>Ống HDPE PE100 DN32 PN10</t>
  </si>
  <si>
    <t>ISO4427-2:2007</t>
  </si>
  <si>
    <t>Ống HDPE PE100 DN32 PN12.5</t>
  </si>
  <si>
    <t>Ống HDPE PE100 DN32 PN16</t>
  </si>
  <si>
    <t>Ống HDPE PE100 DN32 PN20</t>
  </si>
  <si>
    <t>Ống HDPE PE100 DN40 PN8</t>
  </si>
  <si>
    <t>Ống HDPE PE100 DN40 PN10</t>
  </si>
  <si>
    <t>Ống HDPE PE100 DN40 PN12.5</t>
  </si>
  <si>
    <t>Ống HDPE PE100 DN40 PN16</t>
  </si>
  <si>
    <t>Ống HDPE PE100 DN40 PN20</t>
  </si>
  <si>
    <t>Ống HDPE PE100 DN50 PN8</t>
  </si>
  <si>
    <t>Ống HDPE PE100 DN50 PN10</t>
  </si>
  <si>
    <t>Ống HDPE PE100 DN50 PN12.5</t>
  </si>
  <si>
    <t>Ống HDPE PE100 DN50 PN16</t>
  </si>
  <si>
    <t>Ống HDPE PE100 DN50 PN20</t>
  </si>
  <si>
    <t>Ống HDPE PE100 DN63 PN8</t>
  </si>
  <si>
    <t>Ống HDPE PE100 DN63 PN10</t>
  </si>
  <si>
    <t>Ống HDPE PE100 DN63 PN12.5</t>
  </si>
  <si>
    <t>Ống HDPE PE100 DN63 PN16</t>
  </si>
  <si>
    <t>Ống HDPE PE100 DN63 PN20</t>
  </si>
  <si>
    <t>Ống HDPE PE100 DN75 PN8</t>
  </si>
  <si>
    <t>Ống HDPE PE100 DN75 PN10</t>
  </si>
  <si>
    <t>Ống HDPE PE100 DN75 PN12.5</t>
  </si>
  <si>
    <t>Ống HDPE PE100 DN75 PN16</t>
  </si>
  <si>
    <t>Ống HDPE PE100 DN75 PN20</t>
  </si>
  <si>
    <t>Ống HDPE PE100 DN90 PN8</t>
  </si>
  <si>
    <t>Ống HDPE PE100 DN90 PN10</t>
  </si>
  <si>
    <t>Ống HDPE PE100 DN90 PN12.5</t>
  </si>
  <si>
    <t>Ống HDPE PE100 DN90 PN16</t>
  </si>
  <si>
    <t>Ống HDPE PE100 DN90 PN20</t>
  </si>
  <si>
    <t>Ống HDPE PE100 DN110 PN6</t>
  </si>
  <si>
    <t>Ống HDPE PE100 DN110 PN8</t>
  </si>
  <si>
    <t>Ống HDPE PE100 DN110 PN10</t>
  </si>
  <si>
    <t>Ống HDPE PE100 DN110 PN12.5</t>
  </si>
  <si>
    <t>Ống HDPE PE100 DN110 PN16</t>
  </si>
  <si>
    <t>Ống HDPE PE100 DN110 PN20</t>
  </si>
  <si>
    <t>Ống HDPE PE100 DN125 PN6</t>
  </si>
  <si>
    <t>Ống HDPE PE100 DN125 PN8</t>
  </si>
  <si>
    <t>Ống HDPE PE100 DN125 PN10</t>
  </si>
  <si>
    <t>Ống HDPE PE100 DN125 PN12.5</t>
  </si>
  <si>
    <t>Ống HDPE PE100 DN125 PN16</t>
  </si>
  <si>
    <t>Ống HDPE PE100 DN125 PN20</t>
  </si>
  <si>
    <t>Ống HDPE PE100 DN140 PN6</t>
  </si>
  <si>
    <t>Ống HDPE PE100 DN140 PN8</t>
  </si>
  <si>
    <t>Ống HDPE PE100 DN140 PN10</t>
  </si>
  <si>
    <t>Ống HDPE PE100 DN140 PN12.5</t>
  </si>
  <si>
    <t>Ống HDPE PE100 DN140 PN16</t>
  </si>
  <si>
    <t>Ống HDPE PE100 DN140 PN20</t>
  </si>
  <si>
    <t>Ống HDPE PE100 DN160 PN6</t>
  </si>
  <si>
    <t>Ống HDPE PE100 DN160 PN8</t>
  </si>
  <si>
    <t>Ống HDPE PE100 DN160 PN10</t>
  </si>
  <si>
    <t>Ống HDPE PE100 DN160 PN12.5</t>
  </si>
  <si>
    <t>Ống HDPE PE100 DN160 PN16</t>
  </si>
  <si>
    <t>Ống HDPE PE100 DN160 PN20</t>
  </si>
  <si>
    <t>Ống HDPE PE100 DN180 PN6</t>
  </si>
  <si>
    <t>Ống HDPE PE100 DN180 PN8</t>
  </si>
  <si>
    <t>Ống HDPE PE100 DN180 PN10</t>
  </si>
  <si>
    <t>Ống HDPE PE100 DN180 PN12.5</t>
  </si>
  <si>
    <t>Ống HDPE PE100 DN180 PN16</t>
  </si>
  <si>
    <t>Ống HDPE PE100 DN180 PN20</t>
  </si>
  <si>
    <t>Ống HDPE PE100 DN200 PN6</t>
  </si>
  <si>
    <t>Ống HDPE PE100 DN200 PN8</t>
  </si>
  <si>
    <t>Ống HDPE PE100 DN200 PN10</t>
  </si>
  <si>
    <t>Ống HDPE PE100 DN200 PN12.5</t>
  </si>
  <si>
    <t>Ống HDPE PE100 DN200 PN16</t>
  </si>
  <si>
    <t>Ống HDPE PE100 DN200 PN20</t>
  </si>
  <si>
    <t>Ống HDPE PE100 DN225 PN6</t>
  </si>
  <si>
    <t>Ống HDPE PE100 DN225 PN8</t>
  </si>
  <si>
    <t>Ống HDPE PE100 DN225 PN10</t>
  </si>
  <si>
    <t>Ống HDPE PE100 DN225 PN12.5</t>
  </si>
  <si>
    <t>Ống HDPE PE100 DN225 PN16</t>
  </si>
  <si>
    <t>Ống HDPE PE100 DN225 PN20</t>
  </si>
  <si>
    <t>Ống HDPE PE100 DN250 PN6</t>
  </si>
  <si>
    <t>Ống HDPE PE100 DN250 PN8</t>
  </si>
  <si>
    <t>Ống HDPE PE100 DN250 PN10</t>
  </si>
  <si>
    <t>Ống HDPE PE100 DN250 PN12.5</t>
  </si>
  <si>
    <t>Ống HDPE PE100 DN250 PN16</t>
  </si>
  <si>
    <t>Ống HDPE PE100 DN250 PN20</t>
  </si>
  <si>
    <t>Ống HDPE PE100 DN280 PN6</t>
  </si>
  <si>
    <t>Ống HDPE PE100 DN280 PN8</t>
  </si>
  <si>
    <t>Ống HDPE PE100 DN280 PN10</t>
  </si>
  <si>
    <t>Ống HDPE PE100 DN280 PN12.5</t>
  </si>
  <si>
    <t>Ống HDPE PE100 DN280 PN16</t>
  </si>
  <si>
    <t>Ống HDPE PE100 DN280 PN20</t>
  </si>
  <si>
    <t>Ống HDPE PE100 DN315 PN6</t>
  </si>
  <si>
    <t>Ống HDPE PE100 DN315 PN8</t>
  </si>
  <si>
    <t>Ống HDPE PE100 DN315 PN10</t>
  </si>
  <si>
    <t>Ống HDPE PE100 DN315 PN12.5</t>
  </si>
  <si>
    <t>Ống HDPE PE100 DN315 PN16</t>
  </si>
  <si>
    <t>Ống HDPE PE100 DN315 PN20</t>
  </si>
  <si>
    <t>Ống HDPE PE100 DN355 PN6</t>
  </si>
  <si>
    <t>Ống HDPE PE100 DN355 PN8</t>
  </si>
  <si>
    <t>Ống HDPE PE100 DN355 PN10</t>
  </si>
  <si>
    <t>Ống HDPE PE100 DN355 PN12.5</t>
  </si>
  <si>
    <t>Ống HDPE PE100 DN355 PN16</t>
  </si>
  <si>
    <t>Ống HDPE PE100 DN355 PN20</t>
  </si>
  <si>
    <t>Ống HDPE PE100 DN400 PN6</t>
  </si>
  <si>
    <t>Ống HDPE PE100 DN400 PN8</t>
  </si>
  <si>
    <t>Ống HDPE PE100 DN400 PN10</t>
  </si>
  <si>
    <t>Ống HDPE PE100 DN400 PN12.5</t>
  </si>
  <si>
    <t>Ống HDPE PE100 DN400 PN16</t>
  </si>
  <si>
    <t>Ống HDPE PE100 DN400 PN20</t>
  </si>
  <si>
    <t>Ống HDPE PE100 DN450 PN6</t>
  </si>
  <si>
    <t>Ống HDPE PE100 DN450 PN8</t>
  </si>
  <si>
    <t>Ống HDPE PE100 DN450 PN10</t>
  </si>
  <si>
    <t>Ống HDPE PE100 DN450 PN12.5</t>
  </si>
  <si>
    <t>Ống HDPE PE100 DN450 PN16</t>
  </si>
  <si>
    <t>Ống HDPE PE100 DN450 PN20</t>
  </si>
  <si>
    <t>Ống HDPE PE100 DN500 PN6</t>
  </si>
  <si>
    <t>Ống HDPE PE100 DN500 PN8</t>
  </si>
  <si>
    <t>Ống HDPE PE100 DN500 PN10</t>
  </si>
  <si>
    <t>Ống HDPE PE100 DN500 PN12.5</t>
  </si>
  <si>
    <t>Ống HDPE PE100 DN500 PN16</t>
  </si>
  <si>
    <t>Ống HDPE PE100 DN500 PN20</t>
  </si>
  <si>
    <t>Ống HDPE PE100 DN560 PN6</t>
  </si>
  <si>
    <t>Ống HDPE PE100 DN560 PN8</t>
  </si>
  <si>
    <t>Ống HDPE PE100 DN560 PN10</t>
  </si>
  <si>
    <t>Ống HDPE PE100 DN560 PN12.5</t>
  </si>
  <si>
    <t>Ống HDPE PE100 DN560 PN16</t>
  </si>
  <si>
    <t>Ống HDPE PE100 DN630 PN6</t>
  </si>
  <si>
    <t>Ống HDPE PE100 DN630 PN8</t>
  </si>
  <si>
    <t>Ống HDPE PE100 DN630 PN10</t>
  </si>
  <si>
    <t>Ống HDPE PE100 DN630 PN12.5</t>
  </si>
  <si>
    <t>Ống HDPE PE100 DN630 PN16</t>
  </si>
  <si>
    <t>Ống và phụ tùng PP-R</t>
  </si>
  <si>
    <t>Ống PP-R DN20 PN10</t>
  </si>
  <si>
    <t>DIN8077:8078:2008-09</t>
  </si>
  <si>
    <t>Ống PP-R DN20 PN16</t>
  </si>
  <si>
    <t>Ống PP-R DN20 PN20</t>
  </si>
  <si>
    <t>Ống PP-R DN20 PN25</t>
  </si>
  <si>
    <t>Ống PP-R DN25 PN10</t>
  </si>
  <si>
    <t>Ống PP-R DN25 PN16</t>
  </si>
  <si>
    <t>Ống PP-R DN25 PN20</t>
  </si>
  <si>
    <t>Ống PP-R DN25 PN25</t>
  </si>
  <si>
    <t>Ống PP-R DN32 PN10</t>
  </si>
  <si>
    <t>Ống PP-R DN32 PN16</t>
  </si>
  <si>
    <t>Ống PP-R DN32 PN20</t>
  </si>
  <si>
    <t>Ống PP-R DN32 PN25</t>
  </si>
  <si>
    <t>Ống PP-R DN40 PN10</t>
  </si>
  <si>
    <t>Ống PP-R DN40 PN16</t>
  </si>
  <si>
    <t>Ống PP-R DN40 PN20</t>
  </si>
  <si>
    <t>Ống PP-R DN40 PN25</t>
  </si>
  <si>
    <t>Ống PP-R DN50 PN10</t>
  </si>
  <si>
    <t>Ống PP-R DN50 PN16</t>
  </si>
  <si>
    <t>Ống PP-R DN50 PN20</t>
  </si>
  <si>
    <t>Ống PP-R DN50 PN25</t>
  </si>
  <si>
    <t>Ống PP-R DN63 PN10</t>
  </si>
  <si>
    <t>Ống PP-R DN63 PN16</t>
  </si>
  <si>
    <t>Ống PP-R DN63 PN20</t>
  </si>
  <si>
    <t>Ống PP-R DN63 PN25</t>
  </si>
  <si>
    <t>Ống PP-R DN75 PN10</t>
  </si>
  <si>
    <t>Ống PP-R DN75 PN16</t>
  </si>
  <si>
    <t>Ống PP-R DN75 PN20</t>
  </si>
  <si>
    <t>Ống PP-R DN75 PN25</t>
  </si>
  <si>
    <t>Ống PP-R DN90 PN10</t>
  </si>
  <si>
    <t>Ống PP-R DN90 PN16</t>
  </si>
  <si>
    <t>Ống PP-R DN90 PN20</t>
  </si>
  <si>
    <t>Ống PP-R DN90 PN25</t>
  </si>
  <si>
    <t>Ống PP-R DN110 PN10</t>
  </si>
  <si>
    <t>Ống PP-R DN110 PN16</t>
  </si>
  <si>
    <t>Ống PP-R DN110 PN20</t>
  </si>
  <si>
    <t>Ống PP-R DN110 PN25</t>
  </si>
  <si>
    <t>Ống gân sóng HDPE</t>
  </si>
  <si>
    <t>Ống HDPE DN200 SN4</t>
  </si>
  <si>
    <t>ISO 21138-3:2007 I TCVN 11821 -3:2O17</t>
  </si>
  <si>
    <t>Ống HDPE DN200 SN8</t>
  </si>
  <si>
    <t>Ống HDPE DN250 SN4</t>
  </si>
  <si>
    <t>Ống HDPE DN250 SN8</t>
  </si>
  <si>
    <t>Ống HDPE DN300 SN4</t>
  </si>
  <si>
    <t>Ống HDPE DN300 SN8</t>
  </si>
  <si>
    <t>Ống HDPE DN400 SN4</t>
  </si>
  <si>
    <t>Ống HDPE DN400 SN8</t>
  </si>
  <si>
    <t>Ống HDPE DN500 SN4</t>
  </si>
  <si>
    <t>Ống HDPE DN500 SN8</t>
  </si>
  <si>
    <t>Ống HDPE DN600 SN4</t>
  </si>
  <si>
    <t>Ống HDPE DN600 SN8</t>
  </si>
  <si>
    <t>Ống nhựa xoắn HDPE 1 lớp</t>
  </si>
  <si>
    <t>Ống nhựa xoắn HDPE 1 lớp D100</t>
  </si>
  <si>
    <t>TCVN 7417-1:2010</t>
  </si>
  <si>
    <t>Ống nhựa xoắn HDPE 1 lớp D125</t>
  </si>
  <si>
    <t>Ống nhựa xoắn HDPE 1 lớp D150</t>
  </si>
  <si>
    <t>Ống nhựa xoắn HDPE 1 lớp D175</t>
  </si>
  <si>
    <t>Ống nhựa xoắn HDPE 1 lớp D200</t>
  </si>
  <si>
    <t xml:space="preserve">Bồn nước inox Valva ngang </t>
  </si>
  <si>
    <t xml:space="preserve">500 L </t>
  </si>
  <si>
    <t>Cái</t>
  </si>
  <si>
    <t>700 L</t>
  </si>
  <si>
    <t>1000 L</t>
  </si>
  <si>
    <t>1500 L</t>
  </si>
  <si>
    <t>2000 L (ø1140)</t>
  </si>
  <si>
    <t>2000 L (ø1420)</t>
  </si>
  <si>
    <t>2500 L (ø1140)</t>
  </si>
  <si>
    <t>2500 L (ø1420)</t>
  </si>
  <si>
    <t>3000 L (ø 1140)</t>
  </si>
  <si>
    <t>3000 L (ø 1420)</t>
  </si>
  <si>
    <t>Bồn nước inox Valva đứng</t>
  </si>
  <si>
    <t>Ống luồn dây điện</t>
  </si>
  <si>
    <t>Ống luồn dây điện DN16 D2</t>
  </si>
  <si>
    <t>Cây</t>
  </si>
  <si>
    <t>Ống luồn dây điện DN20 D2</t>
  </si>
  <si>
    <t>Ống luồn dây điện DN25 D2</t>
  </si>
  <si>
    <t>Ống luồn dây điện DN32 D2</t>
  </si>
  <si>
    <t>Ống luồn dây điện DN40 D2</t>
  </si>
  <si>
    <t>Ống luồn dây điện DN50 D2</t>
  </si>
  <si>
    <t>Ống luồn dây điện DN63 D2</t>
  </si>
  <si>
    <t>TCVN 10333-1:2014</t>
  </si>
  <si>
    <t>TCVN 11736:2017 &amp; TC.VCA 009-2015</t>
  </si>
  <si>
    <t>Đá 0 x 5 (mm)</t>
  </si>
  <si>
    <t>Đá 0,5 x 1 (mm)</t>
  </si>
  <si>
    <t>Đá 1 x 2</t>
  </si>
  <si>
    <t>10-20</t>
  </si>
  <si>
    <t>Đá 2 x 4</t>
  </si>
  <si>
    <t>Đá 4 x 6</t>
  </si>
  <si>
    <t>20-40</t>
  </si>
  <si>
    <t>40-60</t>
  </si>
  <si>
    <t>150-300</t>
  </si>
  <si>
    <t>0-25</t>
  </si>
  <si>
    <t>0-37,5</t>
  </si>
  <si>
    <t>Công ty CP Tân Hưng  - Giá bán tại nơi sản xuất: Km27+500 Quốc Lộ 9, Cam Thành, Cam Lộ</t>
  </si>
  <si>
    <t>300x350x125</t>
  </si>
  <si>
    <t>450x350x125</t>
  </si>
  <si>
    <t>900x300x125</t>
  </si>
  <si>
    <t>900x350x125</t>
  </si>
  <si>
    <t>Sản phẩm sơn Tuylips</t>
  </si>
  <si>
    <t>Bộ đèn NLMT All In One CAPSOL 10W 5700 màu đen (KY-Y-YY-001)</t>
  </si>
  <si>
    <t>Bộ đèn NLMT All In One CAPSOL 10W 5700 màu gold (KY-Y-YY-001)</t>
  </si>
  <si>
    <t>Bộ đèn NLMT All In One MAXTRIX 10W 5700 màu đen (KY-Y-YG-001)</t>
  </si>
  <si>
    <t>Bộ đèn NLMT  All In One NOVA 30W 5700 màu trắng (KY-Y-YF-001)</t>
  </si>
  <si>
    <t>Bộ đèn NLMT  All In One NOVA 40W 5700 màu trắng (KY-Y-YF-002)</t>
  </si>
  <si>
    <t>Bộ đèn NLMT  All In One NOVA 50W 5700 màu trắng (KY-Y-YF-003)</t>
  </si>
  <si>
    <t>Bộ đèn NLMT All In One NOVA 60W 5700 màu trắng (KY-Y-YF-004)</t>
  </si>
  <si>
    <t>Bộ đèn NLMT  All In One COOLEX 60W 5700 màu xám (KY-Y-YJ-001)</t>
  </si>
  <si>
    <t>Bộ đèn NLMT All In Two TECO 20W 5700 màu xám (KY-E-FY-001-C1)</t>
  </si>
  <si>
    <t>Bộ đèn NLMT  All In Two AMBO 20W 5700 màu xám (KY-E-JX-001-C1)</t>
  </si>
  <si>
    <t>Bộ đèn NLMT  All In Two AMBO 30W 5700 màu xám (KY-E-JX-001)</t>
  </si>
  <si>
    <t>Bộ đèn NLMT  All In Two INTENSE 40W 5000 màu xám (KY-E-HT-001)</t>
  </si>
  <si>
    <t>Bộ đèn NLMT  All In Two INTENSE 50W 5000 màu xám (KY-E-HT-002)</t>
  </si>
  <si>
    <t>Bộ đèn NLMT  All In Two INTENSE 60W 5000 màu xám (KY-E-HT-003)</t>
  </si>
  <si>
    <t>Bộ đèn NLMT  All In Two INTENSE 70W 5000 màu xám (KY-E-HT-004)</t>
  </si>
  <si>
    <t>Bộ đèn NLMT  SPLIT LUMO 20W 5700 màu xám (KY-F-XC-001-C1)</t>
  </si>
  <si>
    <t>Bộ đèn NLMT  SPLIT LUMO 30W 5700 màu xám (KY-F-XC-001-C2)</t>
  </si>
  <si>
    <t>Bộ đèn NLMT  SPLIT LUMO 40W 5700 màu xám (KY-F-XC-001)</t>
  </si>
  <si>
    <t>Bộ đèn NLMT  SPLIT LUMO 60W 5700 màu xám (KY-F-XC-002-C1)</t>
  </si>
  <si>
    <t>Bộ đèn NLMT  SPLIT LUMO 60W 5700 màu xám (KY-F-XC-002)</t>
  </si>
  <si>
    <t>Bộ đèn NLMT  SPLIT CONCO 60W 5000 màu xám (KY-F-HX-001-C1)</t>
  </si>
  <si>
    <t>Bộ đèn NLMT  SPLIT CONCO 80W 5000 màu xám (KY-F-HX-001)</t>
  </si>
  <si>
    <t>Bộ đèn NLMT  SPLIT CONCO 100W 5000 màu xám (KY-F-HX-002)</t>
  </si>
  <si>
    <t>Bộ đèn NLMT  SPLIT CONCO 120W 5000 màu xám (KY-F-HX-003)</t>
  </si>
  <si>
    <t>Bộ đèn NLMT  SPLIT CONCO 150W 5000 màu xám (KY-F-HX-004)</t>
  </si>
  <si>
    <t>Sản phẩm đèn nhập khẩu nguyên bộ</t>
  </si>
  <si>
    <t>10W - 1700 Lm; Mono panel 17W/6V - Lithium battery 30AH/3.2V</t>
  </si>
  <si>
    <t>10W - 1700 Lm; Mono panel 25W/6V - Lithium battery 40AH/3.2V</t>
  </si>
  <si>
    <t>30W - 5100 Lm; Mono panel 65W/18V - Lithium battery 30AH/12.8V</t>
  </si>
  <si>
    <t>40W - 6800 Lm; Mono panel 95W/18V - Lithium battery 40AH/12.8V</t>
  </si>
  <si>
    <t>50W - 8500 Lm; Mono panel 130W/18V - Lithium battery 50AH/12.8V</t>
  </si>
  <si>
    <t>60W - 10200 Lm; Mono panel 130W/18V - Lithium battery 60AH/12.8V</t>
  </si>
  <si>
    <t>60W - 10200 Lm; Mono panel 130W/18V - Lithium battery 80AH/12.8V</t>
  </si>
  <si>
    <t>20W - 3400 Lm; Poly Panel 18V/50W - Lithium battery 12.8V/18AH</t>
  </si>
  <si>
    <t>20W - 3400 Lm; Mono panel 65W/18V - Lithium battery 30AH/12.8V</t>
  </si>
  <si>
    <t>70W - 11900 Lm; Mono panel 190W/18V - Lithium battery 70AH/12.8V</t>
  </si>
  <si>
    <t>20W - 3400 Lm; Mono panel 65W/18V - Lithium battery 20AH/12.8V</t>
  </si>
  <si>
    <t>80W - 13600 Lm; Mono panel 190W/36V - Lithium battery 40AH/25.6V</t>
  </si>
  <si>
    <t>10W - 17000 Lm; Mono panel 260W/36V - Lithium battery 50AH/25.6V</t>
  </si>
  <si>
    <t>120W - 20400 Lm; Mono panel 260W/36V - Lithium battery 60AH/25.6V</t>
  </si>
  <si>
    <t>120W - 25500 Lm; Mono panel 260W/36V - Lithium battery 80AH/25.6V</t>
  </si>
  <si>
    <t>Công ty TNHH kỹ thuật Đạt - Giá bán tại chân công trình trên địa bàn tỉnh Quảng Trị</t>
  </si>
  <si>
    <r>
      <t xml:space="preserve">Giá chưa có thuế VAT </t>
    </r>
    <r>
      <rPr>
        <sz val="13"/>
        <rFont val="Times New Roman"/>
        <family val="1"/>
      </rPr>
      <t>(đồng/ĐVT)</t>
    </r>
  </si>
  <si>
    <t xml:space="preserve">Gạch Tuynel 6 lổ  </t>
  </si>
  <si>
    <t xml:space="preserve">Gạch Tuynel 6 lổ </t>
  </si>
  <si>
    <t>Sơn FAPEC - Sơn SUNPEC</t>
  </si>
  <si>
    <t>FAPEC - Sơn kinh tế nội thất trắng (24kg)</t>
  </si>
  <si>
    <t>FAPEC - Sơn kinh tế nội thất màu (24kg)</t>
  </si>
  <si>
    <t>FAPEC - Sơn mịn ngoại thất (22kg)</t>
  </si>
  <si>
    <t>Sơn mịn cao cấp nội thất (25kg)</t>
  </si>
  <si>
    <t>SUNPEC - Bột bả nội và ngoại thất (40kg)</t>
  </si>
  <si>
    <t>Sơn lót chống kiềm cao cấp nội thất (21kg)</t>
  </si>
  <si>
    <t>Sơn lót chống kiềm cao cấp ngoại thất (20kg)</t>
  </si>
  <si>
    <t>FAPEC - Bột bả nội thất (40kg)</t>
  </si>
  <si>
    <t>Chống thấm đa năng (20kg)</t>
  </si>
  <si>
    <t>Gạch bê tông tự chèn tính năng cao</t>
  </si>
  <si>
    <t>Gạch lát bê tông tính năng cao</t>
  </si>
  <si>
    <t>Bó vỉa bê tông tính năng cao</t>
  </si>
  <si>
    <t>Công ty TNHH MTV thương mại Đồng Tâm – Chi nhánh Quảng Nam - Giá bán đã bao gồm chi phí vận chuyển đến chân công trình - SĐT: 0909732113</t>
  </si>
  <si>
    <t>Đèn TECEO Gen2 S1 48LED 700mA 104W NW Class I 100.000hrs - DIM 5</t>
  </si>
  <si>
    <t>Đèn TECEO Gen2 S1 64LED 700mA 134W NW Class I 100.000hrs - DIM 5</t>
  </si>
  <si>
    <r>
      <t xml:space="preserve">LM 79-08
EN60598-1:2015+A1:2018
EN 60598-2-3:2003/A1:2011
(EMC)
EN 55015 / EN 61000-3-2 / EN61000-3-3/ EN 61547
EN 61547 / EN 61000-4-2,-3,-4,-5,-6,-8,-11
</t>
    </r>
    <r>
      <rPr>
        <b/>
        <sz val="13"/>
        <color indexed="8"/>
        <rFont val="Times New Roman"/>
        <family val="1"/>
      </rPr>
      <t>Xuất xứ Schreder - Trung Quốc</t>
    </r>
  </si>
  <si>
    <t>Sơn dân dụng Joton</t>
  </si>
  <si>
    <t>Chi nhánh Công ty cổ phần L.Q Joton Đà Nẵng - Giá bán đã bao gồm chi phí vận chuyển đến chân công trình trong phạm vi tỉnh Quảng Trị</t>
  </si>
  <si>
    <t>Bột ngoại thất Joton (40kg)</t>
  </si>
  <si>
    <t>Bột nội thất SP Filler (40kg)</t>
  </si>
  <si>
    <t>Sơn lót chống kiềm ngoại thất Joton Pros (18L)</t>
  </si>
  <si>
    <t>Sơn lót chống kiềm nội thất Joton Prosin (18L)</t>
  </si>
  <si>
    <t>Sơn nội thất cao cấp Newfa (18L)</t>
  </si>
  <si>
    <t>Sơn ngoại thất Jony-H (18L)</t>
  </si>
  <si>
    <t>Chống thấm CT-2010 (20kg)</t>
  </si>
  <si>
    <t>Sơn chống rỉ Super Primer (20kg)</t>
  </si>
  <si>
    <t>Sơn dầu màu bóng mờ Jimmy (20kg)</t>
  </si>
  <si>
    <t>Sơn Berh</t>
  </si>
  <si>
    <t>Chi nhánh Công ty cổ phần Bewin &amp; Coating VN tại ĐN - Giá báo tại chân công trình</t>
  </si>
  <si>
    <t>Bột trét tường cao cấp nội thất Skimcoat RC-INT 40kg/bao</t>
  </si>
  <si>
    <t>Bột trét tường ngoại thất cao cấp  ALL IN ONE RA-EXT 40kg/bao</t>
  </si>
  <si>
    <t>Sơn Viglacera</t>
  </si>
  <si>
    <t>Bột bả nội thất Viglacera - VANET BBVA 40kg/bao</t>
  </si>
  <si>
    <t>Bột bả Viglacera ngoại  thất cao cấp VNB 40kg/bao</t>
  </si>
  <si>
    <t>VIGLACERA - PRIMER. INT  -  Sơn lót kháng kiềm nội thất VT8000 loại 18L/ thùng</t>
  </si>
  <si>
    <t>VIGLACERA - PRIMER. EXT  -  Sơn lót kháng kiềm ngoại thất VN8000 loại 18L/thùng</t>
  </si>
  <si>
    <t>VANET - 5IN1- Sơn nội thất cao cấp màu chuẩn VA9…A loại 18L/thùng</t>
  </si>
  <si>
    <t>VIGLACERA - IN FAMI - Sơn mờ nội thất màu chuẩn VT2…A loại 18L/ thùng</t>
  </si>
  <si>
    <t>VIGLACERA - GOLD. EXT - Sơn mịn ngoại thất màu chuẩn VN2…A loại 18L/thùng</t>
  </si>
  <si>
    <t>Sơn Bewin</t>
  </si>
  <si>
    <t>Chi nhánh Công ty TNHH MTV Chiếu sáng và TBĐT tại Đà Nẵng - Giá bán tại thành phố Đông Hà</t>
  </si>
  <si>
    <t>Cột thép bát giác, tròn côn cao 6m - D78 - 3mm</t>
  </si>
  <si>
    <t>Cột thép bát giác, tròn côn cao 6m - D78 - 3,5mm</t>
  </si>
  <si>
    <t>Cột thép bát giác, tròn côn cao 7m - D78 - 3,5mm</t>
  </si>
  <si>
    <t>Cột thép bát giác, tròn côn cao 7m - D78 - 4mm</t>
  </si>
  <si>
    <t>Cột thép bát giác, tròn côn cao 8m - D78 - 3,5mm</t>
  </si>
  <si>
    <t>Cột thép bát giác, tròn côn cao 8m - D78 - 4mm</t>
  </si>
  <si>
    <t>Cột thép bát giác, tròn côn cao 9m - D78 - 4mm</t>
  </si>
  <si>
    <t>Cột thép bát giác, tròn côn cao 10m - D78 - 4mm</t>
  </si>
  <si>
    <t>Cột thép bát giác, tròn côn cao 11m - D78 - 4mm</t>
  </si>
  <si>
    <t>Cột thép bát giác, tròn côn liền cần đơn 7m - 3mm</t>
  </si>
  <si>
    <t>Cột thép bát giác, tròn côn liền cần đơn 8m - 3mm</t>
  </si>
  <si>
    <t>Cột thép bát giác, tròn côn liền cần đơn 8m - 3,5mm</t>
  </si>
  <si>
    <t>Cột thép bát giác, tròn côn liền cần đơn 9m - 3,5mm</t>
  </si>
  <si>
    <t>Cột thép bát giác, tròn côn liền cần đơn 9m - 4mm</t>
  </si>
  <si>
    <t>Cột thép bát giác, tròn côn liền cần đơn 10m - 4mm</t>
  </si>
  <si>
    <t>Cột thép bát giác, tròn côn liền cần đơn 11m - 4mm</t>
  </si>
  <si>
    <t>Cột thép kẻ xoắn 7m - D78 - 3,5mm</t>
  </si>
  <si>
    <t>Cột thép kẻ xoắn 8m - D78 - 3,5mm</t>
  </si>
  <si>
    <t>Cột thép kẻ xoắn 8m - D78 - 4mm</t>
  </si>
  <si>
    <t>Cột thép kẻ xoắn 9m - D78 - 4mm</t>
  </si>
  <si>
    <t>Cột thép kẻ xoắn 10m - D78 - 4mm</t>
  </si>
  <si>
    <t>Cột thép bát giác, tròn côn 7m, 4mm lắp cần cánh hạc đơn, mạ + sơn</t>
  </si>
  <si>
    <t>Cột thép bát giác, tròn côn 8m, 4mm lắp cần cánh hạc đơn, mạ + sơn</t>
  </si>
  <si>
    <t>Cột thép bát giác, tròn côn 10m, 4mm lắp cần cánh hạc đơn, mạ + sơn</t>
  </si>
  <si>
    <t>Cột thép bát giác, tròn côn 8m, 4mm lắp cần cánh hạc kép, mạ + sơn</t>
  </si>
  <si>
    <t>Cột thép bát giác, tròn côn 10m, 4mm lắp cần cánh hạc kép, mạ + sơn</t>
  </si>
  <si>
    <t>Cột thép kẻ xoắn 7m, 4mm lắp cần cánh hạc đơn, mạ + sơn</t>
  </si>
  <si>
    <t>Cột thép kẻ xoắn 9m, 4mm lắp cần cánh hạc đơn, mạ + sơn</t>
  </si>
  <si>
    <t>Cột thép ARISTA 1 nhánh, độ cao lắp đèn 9m, mạ + sơn</t>
  </si>
  <si>
    <t>Cột thép ARISTA 1 nhánh, độ cao lắp đèn 10,5m, mạ + sơn</t>
  </si>
  <si>
    <t>Cột thép ARISTA 2 nhánh, độ cao lắp đèn 9m và 6,5m, mạ + sơn</t>
  </si>
  <si>
    <t>Cần đèn đơn CD 01 cao 2m, vươn 1,5m - 3mm</t>
  </si>
  <si>
    <t>Cần đèn đơn CD 03 cao 2m, vươn 1,5m - 3mm</t>
  </si>
  <si>
    <t>Cần đèn đơn CD 04 cao 2m, vươn 1,5m - 3mm</t>
  </si>
  <si>
    <t>Cần đèn đơn CD 05 cao 2m, vươn 1,5m - 3mm</t>
  </si>
  <si>
    <t>Cần đèn đơn CD 06 cao 2m, vươn 1,5m - 3mm</t>
  </si>
  <si>
    <t>Cần đèn kép CK 01 cao 2m, vươn 1,5m - 3mm</t>
  </si>
  <si>
    <t>Cần đèn kép CK 03 cao 2m, vươn 1,5m - 3mm</t>
  </si>
  <si>
    <t>Cần đèn kép CK 04 cao 2m, vươn 1,5m - 3mm</t>
  </si>
  <si>
    <t>Cần đèn kép CK 05 cao 2m, vươn 1,5m - 3mm</t>
  </si>
  <si>
    <t>Cần đèn kép CK 06 cao 2m, vươn 1,5m - 3mm</t>
  </si>
  <si>
    <t>Đèn Led TOBY 150 - 160</t>
  </si>
  <si>
    <t>Đèn Led TOBY 200 - 220</t>
  </si>
  <si>
    <t>Đèn Led HALUMOS HP 100</t>
  </si>
  <si>
    <t>Đèn Led HALUMOS HP 110 - 125</t>
  </si>
  <si>
    <t>Đèn Led HALUMOS HP 150</t>
  </si>
  <si>
    <t>Đèn Led HALUMOS HP 175</t>
  </si>
  <si>
    <t>Đèn Led HALUMOS HP 200</t>
  </si>
  <si>
    <t>Đèn Led LUNA PC 100</t>
  </si>
  <si>
    <t>Đèn Led SEPAT 50</t>
  </si>
  <si>
    <t>Đèn pha Led SAMBA 200</t>
  </si>
  <si>
    <t>Đèn pha Led SAMBA 260</t>
  </si>
  <si>
    <t>Đèn pha Led SAMBA 520</t>
  </si>
  <si>
    <t>Đèn BORDO 14</t>
  </si>
  <si>
    <t>Đèn BORDO 25</t>
  </si>
  <si>
    <t>Đèn BORDO 32</t>
  </si>
  <si>
    <t>Đèn nấm COMET 0,75m đui E27</t>
  </si>
  <si>
    <t>Đèn nấm COMET 0,95m đui E27</t>
  </si>
  <si>
    <t>Đèn TULIP đui E27</t>
  </si>
  <si>
    <t>Đèn JEBI đui E27</t>
  </si>
  <si>
    <t>Đèn Nấm Cây Thông đui E27</t>
  </si>
  <si>
    <t>Đèn FERIA đui E27</t>
  </si>
  <si>
    <t>Quả cầu trong PMMA D400 bóng Led 12-20W</t>
  </si>
  <si>
    <t>Đèn JUPITER đui E27</t>
  </si>
  <si>
    <t>Cột trang trí GARDO 3,7m</t>
  </si>
  <si>
    <t>Cột trang trí GARDO 4m</t>
  </si>
  <si>
    <t>Cột trang trí ADECO/2Y 4m</t>
  </si>
  <si>
    <t>Cột trang trí BANIAN</t>
  </si>
  <si>
    <t>Cột trang trí NOUVO</t>
  </si>
  <si>
    <t>Cột trang trí PINE</t>
  </si>
  <si>
    <t>Chùm trang trí CH 04-4</t>
  </si>
  <si>
    <t>Chùm trang trí CH 08-4</t>
  </si>
  <si>
    <t>Chùm trang trí CH 07-4</t>
  </si>
  <si>
    <t>Chùm trang trí CH 07-5</t>
  </si>
  <si>
    <t>Chùm trang trí CH 11-4</t>
  </si>
  <si>
    <t>Chùm trang trí CH 11-5</t>
  </si>
  <si>
    <t>Cần</t>
  </si>
  <si>
    <t>Thương hiệu Hapulico</t>
  </si>
  <si>
    <t>Mạ kẽm nhúng nóng theo tiêu chuẩn ASTM A123. Phù hợp với: TCCS 01:2020/HAPULICO                     (Theo Catalogue HAPULICO)</t>
  </si>
  <si>
    <t>Phù hợp tiêu chuẩn: TCVN 7722-1:2017 (IEC 60598-1:2014)
TCVN 7722-2-3:2019 (IEC 60598-2-3: 2011)         (Theo Catalogue HAPULICO)</t>
  </si>
  <si>
    <t>Đế bằng gang đúc, nhựa hoặc nhôm đúc
Thân bằng nhôm đùn                  (Theo Catalogue HAPULICO)</t>
  </si>
  <si>
    <t>Ống luồn dây điện thương hiệu Vanlock/Sino</t>
  </si>
  <si>
    <t>Các loại phụ kiện điện thương hiệu Vanlock/Sino</t>
  </si>
  <si>
    <t>Quạt thông gió thương hiệu Vanlock/Sino</t>
  </si>
  <si>
    <t>Dây, cáp tín hiệu thương hiệu Vanlock/Sino</t>
  </si>
  <si>
    <t>Van 1 chiều đồng hồ DN15  và Hộp đồng hồ</t>
  </si>
  <si>
    <t>Van 1 chiều đồng hồ DN15, kiểu lá lật</t>
  </si>
  <si>
    <t>Hộp đồng hồ HDPE/PP 365 x 212 x 162 mm</t>
  </si>
  <si>
    <t>Rắc co đồng hồ và gioăng phớt sản xuất tại Việt Nam</t>
  </si>
  <si>
    <t>Đồng hồ đo nước hiệu Woltex kiểu Woltmann, chống từ. Mặt số có sẵn cảm biên, chân gá để cài đặt thiết bị để tích hợp với hệ thống đọc số từ xa dây và không dây, đã kiểm định</t>
  </si>
  <si>
    <t>Các thiết bị Cyble xuất xứ: Pháp/hãng Itron</t>
  </si>
  <si>
    <t>Cyble sensor, 5 dây</t>
  </si>
  <si>
    <t>Cyble RF (sóng Radio)</t>
  </si>
  <si>
    <t>DN125</t>
  </si>
  <si>
    <t>VAN MỘT CHIỀU MẶT BÍCH LÁ LẬT - TECOFI (Xuất xứ: CH PHÁP)</t>
  </si>
  <si>
    <t>VAN BƯỚM TAY GẠT KIỂU WAFER - TECOFI (Xuất xứ: CH PHÁP)</t>
  </si>
  <si>
    <t>VAN BƯỚM VÔ LĂNG - HỘP SỐ KIỂU WAFER - TECOFI (Xuất xứ: CH PHÁP)</t>
  </si>
  <si>
    <t>VAN BƯỚM HAI MẶT BÍCH TAY GẠT - PN10 - TECOFI (Xuất xứ: CH PHÁP)</t>
  </si>
  <si>
    <t>VAN XẢ KHÍ ĐƠN - NỐI BÍCH + VAN BI - PN16 - TECOFI (Xuất xứ: CH PHÁP)</t>
  </si>
  <si>
    <t>DN40-65</t>
  </si>
  <si>
    <t>MỐI NỐI MỀM CAO SU MẶT BÍCH - GIOĂNG EPDM- TECOFI (Xuất xứ: CH PHÁP)</t>
  </si>
  <si>
    <t>MỐI NỐI NHANH - TECOFI (Xuất xứ: CH PHÁP)</t>
  </si>
  <si>
    <t>Y LỌC GANG - MẶT BÍCH - PN16 - TECOFI (Xuất xứ: CH PHÁP)</t>
  </si>
  <si>
    <r>
      <t xml:space="preserve">BEHR - ALKALI PRIMER.INT </t>
    </r>
    <r>
      <rPr>
        <b/>
        <sz val="13"/>
        <rFont val="Times New Roman"/>
        <family val="1"/>
      </rPr>
      <t xml:space="preserve">- </t>
    </r>
    <r>
      <rPr>
        <i/>
        <sz val="13"/>
        <rFont val="Times New Roman"/>
        <family val="1"/>
      </rPr>
      <t>Sơn lót kháng kiềm nội thất</t>
    </r>
    <r>
      <rPr>
        <sz val="13"/>
        <rFont val="Times New Roman"/>
        <family val="1"/>
      </rPr>
      <t xml:space="preserve"> L1-0000 loại 18L/thùng</t>
    </r>
  </si>
  <si>
    <r>
      <t>BEHR - ALKALI PRIMER.EXT</t>
    </r>
    <r>
      <rPr>
        <b/>
        <sz val="13"/>
        <rFont val="Times New Roman"/>
        <family val="1"/>
      </rPr>
      <t xml:space="preserve"> - </t>
    </r>
    <r>
      <rPr>
        <i/>
        <sz val="13"/>
        <rFont val="Times New Roman"/>
        <family val="1"/>
      </rPr>
      <t>Sơn lót kháng kiềm ngoại thất</t>
    </r>
    <r>
      <rPr>
        <sz val="13"/>
        <rFont val="Times New Roman"/>
        <family val="1"/>
      </rPr>
      <t xml:space="preserve"> L2-0000 loại 18L/thùng</t>
    </r>
  </si>
  <si>
    <r>
      <t xml:space="preserve">BEHR - CLASSIC.INT - </t>
    </r>
    <r>
      <rPr>
        <i/>
        <sz val="13"/>
        <rFont val="Times New Roman"/>
        <family val="1"/>
      </rPr>
      <t>Sơn nội thất tiêu chuẩn S1-xxxx loại 18L/thùng</t>
    </r>
  </si>
  <si>
    <r>
      <t xml:space="preserve">BEHR - SUPER WHITE </t>
    </r>
    <r>
      <rPr>
        <i/>
        <sz val="13"/>
        <rFont val="Times New Roman"/>
        <family val="1"/>
      </rPr>
      <t>- Sơn siêu trắng trần S-0000 loại 22kg/thùng</t>
    </r>
  </si>
  <si>
    <r>
      <t>BEHR - SILKY MAX</t>
    </r>
    <r>
      <rPr>
        <b/>
        <sz val="13"/>
        <rFont val="Times New Roman"/>
        <family val="1"/>
      </rPr>
      <t xml:space="preserve"> </t>
    </r>
    <r>
      <rPr>
        <i/>
        <sz val="13"/>
        <rFont val="Times New Roman"/>
        <family val="1"/>
      </rPr>
      <t>- Sơn nội thất siêu mịn ứng dụng công nghệ nghiền lọc 2 lần S3-xxxx loại 18L/thùng</t>
    </r>
  </si>
  <si>
    <r>
      <t>BEHR - CLASSIC. EXT</t>
    </r>
    <r>
      <rPr>
        <b/>
        <sz val="13"/>
        <rFont val="Times New Roman"/>
        <family val="1"/>
      </rPr>
      <t xml:space="preserve"> </t>
    </r>
    <r>
      <rPr>
        <i/>
        <sz val="13"/>
        <rFont val="Times New Roman"/>
        <family val="1"/>
      </rPr>
      <t>- Sơn ngoại thất siêu mịn SK2-xxxx loại 18L/thùng</t>
    </r>
  </si>
  <si>
    <r>
      <rPr>
        <sz val="13"/>
        <color indexed="8"/>
        <rFont val="Times New Roman"/>
        <family val="1"/>
      </rPr>
      <t>BEWIN. POWER PUTTY INTERIOR</t>
    </r>
    <r>
      <rPr>
        <i/>
        <sz val="13"/>
        <color indexed="8"/>
        <rFont val="Times New Roman"/>
        <family val="1"/>
      </rPr>
      <t xml:space="preserve"> - </t>
    </r>
    <r>
      <rPr>
        <sz val="13"/>
        <color indexed="8"/>
        <rFont val="Times New Roman"/>
        <family val="1"/>
      </rPr>
      <t>Bột trét tường nội thất cao cấp BB.50001 40kg/bao</t>
    </r>
  </si>
  <si>
    <r>
      <rPr>
        <sz val="13"/>
        <color indexed="8"/>
        <rFont val="Times New Roman"/>
        <family val="1"/>
      </rPr>
      <t>BEWIN. ALL FILLER  INT&amp; EXT- Bột trét tường nội ngoại thất 2 trong 1 BB.50003 40kg/bao</t>
    </r>
  </si>
  <si>
    <r>
      <t>BEWIN - Ferhler ALKALI PRIMER.INT -</t>
    </r>
    <r>
      <rPr>
        <sz val="13"/>
        <color indexed="8"/>
        <rFont val="Times New Roman"/>
        <family val="1"/>
      </rPr>
      <t xml:space="preserve"> Sơn lót kháng kiềm nội thất -K1.70001 loại 18L/thùng</t>
    </r>
  </si>
  <si>
    <r>
      <t>BEWIN - Ferhler ALKALI PRIMER. EXT-</t>
    </r>
    <r>
      <rPr>
        <sz val="13"/>
        <color indexed="8"/>
        <rFont val="Times New Roman"/>
        <family val="1"/>
      </rPr>
      <t xml:space="preserve"> Sơn lót siêu kháng kiềm ngoại thất -K2.70004 loại 18L/thùng</t>
    </r>
  </si>
  <si>
    <r>
      <rPr>
        <sz val="13"/>
        <color indexed="8"/>
        <rFont val="Times New Roman"/>
        <family val="1"/>
      </rPr>
      <t>BEWIN- Ferhler SMART SILK</t>
    </r>
    <r>
      <rPr>
        <i/>
        <sz val="13"/>
        <color indexed="8"/>
        <rFont val="Times New Roman"/>
        <family val="1"/>
      </rPr>
      <t xml:space="preserve"> </t>
    </r>
    <r>
      <rPr>
        <sz val="13"/>
        <color indexed="8"/>
        <rFont val="Times New Roman"/>
        <family val="1"/>
      </rPr>
      <t>- Sơn nội thất láng mịn, độ phủ cao -BT3.xxxx loại 18L/thùng</t>
    </r>
  </si>
  <si>
    <r>
      <t>BEWIN -  Ferhler EASY CLEAN MAX -</t>
    </r>
    <r>
      <rPr>
        <sz val="13"/>
        <color indexed="8"/>
        <rFont val="Times New Roman"/>
        <family val="1"/>
      </rPr>
      <t xml:space="preserve"> Sơn nội thất lau chùi hiệu quả, lau chùi dễ dàng các vết bẩn -BT4.xxxxx loại 18L/thùng</t>
    </r>
  </si>
  <si>
    <r>
      <t>BEWIN - Ferhler SILK SEASONS -</t>
    </r>
    <r>
      <rPr>
        <sz val="13"/>
        <color indexed="8"/>
        <rFont val="Times New Roman"/>
        <family val="1"/>
      </rPr>
      <t xml:space="preserve"> Sơn ngoại thất láng mịn, độ phủ cao, bền màu -BN3.xxxxx loại 18L/thùng</t>
    </r>
  </si>
  <si>
    <r>
      <t xml:space="preserve">TCVN 7722-2-3:2007 (IEC 60598-2-3:2002)
IEC 60529 ; IEC62262;
Full Programmable, chuẩn 0-10V/1-10V hoặc DALI
LED module SSC Hàn Quốc
</t>
    </r>
    <r>
      <rPr>
        <b/>
        <sz val="13"/>
        <color indexed="8"/>
        <rFont val="Times New Roman"/>
        <family val="1"/>
      </rPr>
      <t>Xuất xứ Việt Nam</t>
    </r>
  </si>
  <si>
    <r>
      <t xml:space="preserve">TCVN 7722-2-3:2007 (IEC 60598-2-3:2002)
IEC 60529 ; IEC62262;
Full Programmable, chuẩn 0-10V/1-10V hoặc DALI
LED module SSC Hàn Quốc
</t>
    </r>
    <r>
      <rPr>
        <b/>
        <sz val="13"/>
        <color indexed="8"/>
        <rFont val="Times New Roman"/>
        <family val="1"/>
      </rPr>
      <t>Xuất xứ Việt Nam</t>
    </r>
  </si>
  <si>
    <r>
      <t xml:space="preserve">Electromagneticcompatibility (EMC):
EN 55015:2013/A1:2015, EN 61000-3-2:2014, EN 61000-3-3:2013, EN61547:2009, EN 62493:2015
LM 79-08 (all measurements in ISO17025accredited laboratory)
</t>
    </r>
    <r>
      <rPr>
        <b/>
        <sz val="13"/>
        <color indexed="8"/>
        <rFont val="Times New Roman"/>
        <family val="1"/>
      </rPr>
      <t>Xuất xứ Schreder - Tây Ban Nha</t>
    </r>
  </si>
  <si>
    <t>Công ty cổ phần xi măng Tân Thắng - Địa chỉ: Xã Tân Thắng, huyện Quỳnh Lưu, tỉnh Nghệ An - Giá bán tại các cửa hàng VLXD trung tâm tỉnh Quảng Trị</t>
  </si>
  <si>
    <t>Sơn nội thất Joile bán bóng (17L)</t>
  </si>
  <si>
    <t>Sơn nội thất Odourless bóng (17L)</t>
  </si>
  <si>
    <t>Sơn nội thất Protect mịn (17L)</t>
  </si>
  <si>
    <t>Sơn nội thất Rio mịn siêu trắng (17L)</t>
  </si>
  <si>
    <t>Sơn ngoại thất Nano Supershield bóng (17L)</t>
  </si>
  <si>
    <t>Sơn ngoại thất Protect bóng mờ (17L)</t>
  </si>
  <si>
    <t>Sơn lót kháng kiềm nội thất In Sealer (17L)</t>
  </si>
  <si>
    <t>Sơn lót kháng kiềm ngoại thất Ex Sealer (17L)</t>
  </si>
  <si>
    <t>Sơn chống thấm pha xi măng CT11A (17L)</t>
  </si>
  <si>
    <t>Bột trét tường, trần (40kg)</t>
  </si>
  <si>
    <t>Sơn cao cấp Kapal</t>
  </si>
  <si>
    <t>Sơn mịn nội thất (17L)</t>
  </si>
  <si>
    <t>Sơn bán bóng ngoại thất (17L)</t>
  </si>
  <si>
    <t>Sơn lót kháng kiềm nội thất (17L)</t>
  </si>
  <si>
    <t>Sơn lót kháng kiềm ngoại thất (17L)</t>
  </si>
  <si>
    <t>Sản phẩm Tôn xốp Đại Long - sản xuất theo công nghệ Đài Loan Tôn xốp giấy bạc, chiều dày lớp xốp 16/40mm, tôn cán 6 sóng  khổ 1,075m, hiệu dụng 1m; 1mdài = 1,075m2</t>
  </si>
  <si>
    <t>Tôn nền Việt Nhật Trung Quốc</t>
  </si>
  <si>
    <t>Tôn nền Đại Long AZ100</t>
  </si>
  <si>
    <t>Tôn Đại Long AZ100</t>
  </si>
  <si>
    <t>Tôn lạnh trắng Nam Kim hoặc Pomina AZ70</t>
  </si>
  <si>
    <t>Van góc LH đồng không van 1 chiều tay ABS DN15</t>
  </si>
  <si>
    <t>Van góc LH đồng có van 1 chiều tay ABS DN15</t>
  </si>
  <si>
    <t>Van góc LH đồng không van 1 chiều tay khóa từ DN15</t>
  </si>
  <si>
    <t>Van góc LH đồng có van 1 chiều tay khóa từ DN15</t>
  </si>
  <si>
    <t>Van bi đồng tay ABS DN15</t>
  </si>
  <si>
    <t>Van 1 chiều đồng lá lật DN15</t>
  </si>
  <si>
    <t>Đồng hồ đo nước</t>
  </si>
  <si>
    <t>Ống nhựa và phụ kiện</t>
  </si>
  <si>
    <t>Ống nhựa xoắn</t>
  </si>
  <si>
    <t>Van các loại</t>
  </si>
  <si>
    <t>STT</t>
  </si>
  <si>
    <t>Loại vật liệu xây dựng</t>
  </si>
  <si>
    <t>Đơn vị tính</t>
  </si>
  <si>
    <t>Ghi chú</t>
  </si>
  <si>
    <t>I</t>
  </si>
  <si>
    <t>CÁT</t>
  </si>
  <si>
    <t>m3</t>
  </si>
  <si>
    <t>Cát xây</t>
  </si>
  <si>
    <t>Cát nền</t>
  </si>
  <si>
    <t>II</t>
  </si>
  <si>
    <t>GẠCH XÂY CÁC LOẠI</t>
  </si>
  <si>
    <t>Viên</t>
  </si>
  <si>
    <t xml:space="preserve">Gạch Tuynel Đặc </t>
  </si>
  <si>
    <t>Gạch nung đặc A</t>
  </si>
  <si>
    <t>GẠCH NUNG</t>
  </si>
  <si>
    <t>GẠCH KHÔNG NUNG</t>
  </si>
  <si>
    <t xml:space="preserve">Gạch bê tông rổng 6 lổ </t>
  </si>
  <si>
    <t>Gạch  bê tông rổng 4 lổ</t>
  </si>
  <si>
    <t xml:space="preserve">Gạch  bê tông  Đặc D6 </t>
  </si>
  <si>
    <t>Gạch  bê tông  Đặc D12</t>
  </si>
  <si>
    <t>Gạch  bê tông  Đặc D15</t>
  </si>
  <si>
    <t xml:space="preserve">Gạch bê tông block GR 10 </t>
  </si>
  <si>
    <t xml:space="preserve">Gạch bê tông block GR 15 </t>
  </si>
  <si>
    <t xml:space="preserve">Gạch bê tông block GR 20 </t>
  </si>
  <si>
    <t xml:space="preserve">Gạch Terrazzo </t>
  </si>
  <si>
    <t xml:space="preserve">Gạch bê tông đặc Đ12 </t>
  </si>
  <si>
    <t>Gạch bê tông rỗng R20</t>
  </si>
  <si>
    <t>Gạch bê tông rỗng R12</t>
  </si>
  <si>
    <t xml:space="preserve">Gạch bê tông đặc Đ5 </t>
  </si>
  <si>
    <t xml:space="preserve">Gạch bê tông rỗng R10 </t>
  </si>
  <si>
    <t xml:space="preserve">Gạch bê tông đặc Đ15 </t>
  </si>
  <si>
    <t xml:space="preserve">Gạch bê tông rỗng 6 lỗ </t>
  </si>
  <si>
    <t>Gạch bê tông đặc Đ10</t>
  </si>
  <si>
    <t>Gạch bê tông rỗng R19</t>
  </si>
  <si>
    <t xml:space="preserve">Gạch bê tông rỗng 4 lỗ </t>
  </si>
  <si>
    <t>Gạch tuynel 4 lổ</t>
  </si>
  <si>
    <t>Gạch Tuynel 4 lổ</t>
  </si>
  <si>
    <t xml:space="preserve">Gạch bê tông rỗng R15 </t>
  </si>
  <si>
    <t>III</t>
  </si>
  <si>
    <t>ĐÁ XÂY DỰNG CÁC LOẠI</t>
  </si>
  <si>
    <t>Đá dăm 2 x 4</t>
  </si>
  <si>
    <t>Đá dăm 4 x 6</t>
  </si>
  <si>
    <t>Đá dăm 5 x 10 vò</t>
  </si>
  <si>
    <t>Cấp phối đá dăm Dmax 25</t>
  </si>
  <si>
    <t>Cấp phối đá dăm Dmax 37,5</t>
  </si>
  <si>
    <t>Đá tảng</t>
  </si>
  <si>
    <t>Đá 15x30cm</t>
  </si>
  <si>
    <t>Bột Asphalt</t>
  </si>
  <si>
    <t>Tấn</t>
  </si>
  <si>
    <t>Dmax25</t>
  </si>
  <si>
    <t>Đá xay 1 x 2</t>
  </si>
  <si>
    <t>Đá xay 2 x 4</t>
  </si>
  <si>
    <t>Đá xay 4 x 6</t>
  </si>
  <si>
    <t>Đá xay 0,5 x 1</t>
  </si>
  <si>
    <t>Đá xay 1 x 1,9</t>
  </si>
  <si>
    <t>Đá hộc xây dựng  (15 x 30)cm</t>
  </si>
  <si>
    <t>Đá xô bồ (xúc ngang)</t>
  </si>
  <si>
    <t>Đá mi 0-5mm</t>
  </si>
  <si>
    <t>Đá hộc</t>
  </si>
  <si>
    <t>Đá bột</t>
  </si>
  <si>
    <t>Đá xay 0 - 5 (mm)</t>
  </si>
  <si>
    <t>Đá xay 5 - 10 (mm)</t>
  </si>
  <si>
    <t>Đá cấp phối Dmax 25</t>
  </si>
  <si>
    <t>Đá cấp phối Dmax 37,5</t>
  </si>
  <si>
    <t>Đá xô bồ</t>
  </si>
  <si>
    <t>Đá hộc xây dựng kích cỡ 15 x 30cm</t>
  </si>
  <si>
    <t>Công ty TNHH Minh Hưng  - Giá bán tại mỏ đá Đầu Mầu, Km28 Quốc Lộ 9, Cam Thành, Cam Lộ</t>
  </si>
  <si>
    <t>kg</t>
  </si>
  <si>
    <t>Thép cuộn VAS d6, d8 CB300-T</t>
  </si>
  <si>
    <t>Thép thanh vằn VAS d10, CB300-V</t>
  </si>
  <si>
    <t>Thép thanh vằn VAS d12-20, CB300-V</t>
  </si>
  <si>
    <t>Thép thanh vằn VAS d10, CB400-V</t>
  </si>
  <si>
    <t>Thép thanh vằn VAS d12-32, CB400-V</t>
  </si>
  <si>
    <t>Thép thanh vằn VAS d10, CB500-V</t>
  </si>
  <si>
    <t>Thép thanh vằn VAS d12-32, CB500-V</t>
  </si>
  <si>
    <t>IV</t>
  </si>
  <si>
    <t>THÉP XÂY DỰNG</t>
  </si>
  <si>
    <t>Kg</t>
  </si>
  <si>
    <t>Xi măng Sông Gianh PCB 30 (bao)</t>
  </si>
  <si>
    <t>Xi măng Sông Gianh PCB 40 (bao)</t>
  </si>
  <si>
    <t>V</t>
  </si>
  <si>
    <t>XI MĂNG</t>
  </si>
  <si>
    <t>Công ty cổ phần thương mại và đầu tư Đồng Lâm - Giá giao đến chân công trình tại TP Đông Hà</t>
  </si>
  <si>
    <t>Xi măng Đồng Lâm bao PCB 40 bao</t>
  </si>
  <si>
    <t>Xi măng Đồng Lâm bao PCB 30 bao</t>
  </si>
  <si>
    <t>Xi măng Đồng Lâm bao PCB 30 rời</t>
  </si>
  <si>
    <t>Xi măng Trường Sơn PCB 30 (bao)</t>
  </si>
  <si>
    <t>Xi măng Trường Sơn PCB 40 (bao)</t>
  </si>
  <si>
    <t>Xi măng Nghi Sơn PCB40 (bao)</t>
  </si>
  <si>
    <t>Công ty thép VAS Việt Mỹ - Giá tại công trình trên địa bàn tỉnh Quảng Trị</t>
  </si>
  <si>
    <t>VI</t>
  </si>
  <si>
    <t>BÊ TÔNG THƯƠNG PHẨM</t>
  </si>
  <si>
    <t>VAS d6, d8 CB300-T</t>
  </si>
  <si>
    <t>VAS d10, CB300-V</t>
  </si>
  <si>
    <t>VAS d12-20, CB300-V</t>
  </si>
  <si>
    <t>VAS d10, CB400-V</t>
  </si>
  <si>
    <t>VAS d12-32, CB400-V</t>
  </si>
  <si>
    <t>VAS d10, CB500-V</t>
  </si>
  <si>
    <t>VAS d12-32, CB500-V</t>
  </si>
  <si>
    <t>Bê tông M150 đột sụt 12±2cm</t>
  </si>
  <si>
    <t>Bê tông M200 đột sụt 12±2cm</t>
  </si>
  <si>
    <t>Bê tông M250 đột sụt 12±2cm</t>
  </si>
  <si>
    <t>Bê tông sử dụng đá max20, xi măng PCB40 (bơm xa và cao dưới 35m)</t>
  </si>
  <si>
    <t>Bê tông M300 đột sụt 14±2cm</t>
  </si>
  <si>
    <t>Bê tông M350 đột sụt 14±2cm</t>
  </si>
  <si>
    <t>Bê tông M400 đột sụt 16±2cm</t>
  </si>
  <si>
    <t>Bê tông M450 đột sụt 16±2cm</t>
  </si>
  <si>
    <t>Bê tông M500 đột sụt 16±2cm</t>
  </si>
  <si>
    <t>Bê tông M550 đột sụt 16±2cm</t>
  </si>
  <si>
    <t>Bê tông M600 đột sụt 16±2cm</t>
  </si>
  <si>
    <t>Bê tông sử dụng đá max40, xi măng PCB40 (không bơm)</t>
  </si>
  <si>
    <t>Công ty cổ phần đầu tư và phát triển CSHT Quảng Trị - Giá bao gồm chi phí vận chuyển, bơm bê tông vào kết cấu công trình, cự ly vận chuyển từ Trạm bê tông Km7, Quốc lộ 9, phường 4 trong phạm vi 15km</t>
  </si>
  <si>
    <t>Bê tông thương phẩm M300 đá 1x2 độ sụt (14±3)</t>
  </si>
  <si>
    <t>Bê tông thương phẩm M250 đá 1x2 độ sụt (14±3)</t>
  </si>
  <si>
    <t>Bê tông thương phẩm M350 đá 1x2 độ sụt (14±3)</t>
  </si>
  <si>
    <t>Bê tông thương phẩm M400 đá 1x2 độ sụt (14±3)</t>
  </si>
  <si>
    <t>Công ty cổ phần Thiên Tân - Đơn giá giao tại chân công trình trong phạm vi cách trạm trộn 10km</t>
  </si>
  <si>
    <t>VII</t>
  </si>
  <si>
    <t>Đá xẻ 200x200x50 (có băm mặt)</t>
  </si>
  <si>
    <t>Đá xẻ 200x300x50 (có băm mặt)</t>
  </si>
  <si>
    <t>Đá xẻ 300x300x50 (có băm mặt)</t>
  </si>
  <si>
    <t>Đá xẻ 200x200x50 (không băm mặt)</t>
  </si>
  <si>
    <t>Đá xẻ 200x300x50 (không băm mặt)</t>
  </si>
  <si>
    <t>Đá xẻ 300x300x50 (không băm mặt)</t>
  </si>
  <si>
    <t>Đá xẻ 300x400x50 (có băm mặt)</t>
  </si>
  <si>
    <t>Đá xẻ 300x600x50 (có băm mặt)</t>
  </si>
  <si>
    <t>Đá xẻ 300x400x50 (không băm mặt)</t>
  </si>
  <si>
    <t>Đá xẻ 300x600x50 (không  băm mặt)</t>
  </si>
  <si>
    <t>Đá xẻ 500x&lt;1000x≤50mm (có băm mặt)</t>
  </si>
  <si>
    <t>Đá xẻ 500x&lt;1000x≤50mm (không băm mặt)</t>
  </si>
  <si>
    <t>200x200x50</t>
  </si>
  <si>
    <t>200x300x50</t>
  </si>
  <si>
    <t>300x300x50</t>
  </si>
  <si>
    <t>300x400x50</t>
  </si>
  <si>
    <t>300x600x50</t>
  </si>
  <si>
    <t>x300x400x50</t>
  </si>
  <si>
    <t>500x&lt;1000x≤50</t>
  </si>
  <si>
    <t>Đá block 200x400x120mm</t>
  </si>
  <si>
    <t>200x400x120</t>
  </si>
  <si>
    <t>Đá block 170x300x100mm</t>
  </si>
  <si>
    <t>170x300x100</t>
  </si>
  <si>
    <t>Đá block 300x200x120mm</t>
  </si>
  <si>
    <t>300x200x120</t>
  </si>
  <si>
    <t>viên</t>
  </si>
  <si>
    <t>Đá granite tự nhiên xẻ tấm các loại</t>
  </si>
  <si>
    <t>Đá Granit tự nhiên xẻ tấm 600x300x30; 400x300x30mm (không băm mặt)</t>
  </si>
  <si>
    <t>Đá Granit tự nhiên xẻ tấm 600x300x20; 400x300x20mm (không băm mặt)</t>
  </si>
  <si>
    <t>Đá Granit tự nhiên xẻ tấm 600x300x10; 400x300x10mm (không băm mặt)</t>
  </si>
  <si>
    <t>Đá xẻ 300x150x30mm (đá xẻ bồn hoa)</t>
  </si>
  <si>
    <t>Đá xẻ 300x120x30mm (đá xẻ bồn hoa)</t>
  </si>
  <si>
    <t>Đá xẻ 300x150x30mm (đá xẻ bồn hoa trang trí 01 mặt)</t>
  </si>
  <si>
    <t>Đá xẻ 300x120x30mm (đá xẻ bồn hoa trang trí 01 mặt)</t>
  </si>
  <si>
    <t xml:space="preserve"> 600x300x20; 
400x300x20</t>
  </si>
  <si>
    <t>600x300x10;
 400x300x10</t>
  </si>
  <si>
    <t>300x300x10;
 300x150x10</t>
  </si>
  <si>
    <t>300x150x30</t>
  </si>
  <si>
    <t>300x120x30</t>
  </si>
  <si>
    <t xml:space="preserve"> 300x150x30</t>
  </si>
  <si>
    <t>Đá Granit tự nhiên xẻ tấm 600x300x30; 400x300x30mm (có băm mặt)</t>
  </si>
  <si>
    <t>Đá Granit tự nhiên xẻ tấm 600x300x20; 400x300x20mm (có băm mặt)</t>
  </si>
  <si>
    <t>Đá Granit tự nhiên xẻ tấm  nhỏ hơn 300x300x10; 300x150x10mm (không băm mặt)</t>
  </si>
  <si>
    <t>Đá Granite</t>
  </si>
  <si>
    <t>m2</t>
  </si>
  <si>
    <t>Sơn Kosu</t>
  </si>
  <si>
    <t>Sơn mịn ngoại thất KS600 (21kg)</t>
  </si>
  <si>
    <t>Sơn mịn ngoại thất cao cấp KS1700 (21kg)</t>
  </si>
  <si>
    <t>Sơn mịn nội thất KS500 (23kg)</t>
  </si>
  <si>
    <t>Sơn mịn nội thất cao cấp KS700 (23kg)</t>
  </si>
  <si>
    <t>Sơn lót chống kiềm nội thất KS100 (20kg)</t>
  </si>
  <si>
    <t>Sơn lót chống kiềm ngoại thất KS200 (20kg)</t>
  </si>
  <si>
    <t>Sơn trắng trần nội thất cao cấp KS800 (23kg)</t>
  </si>
  <si>
    <t>Sơn chống thấm 2 thành phần ngoại thất cao cấp KS1300 (20kg)</t>
  </si>
  <si>
    <t>Sơn ngoại thất giả đá cao cấp KS1800 (20kg)</t>
  </si>
  <si>
    <t>Sơn lót chống kiềm Eco (20kg)</t>
  </si>
  <si>
    <t>Bột bả Eco (35kg)</t>
  </si>
  <si>
    <t>Bột bả nội, ngoại thất (35kg)</t>
  </si>
  <si>
    <t>Công ty cổ phần Sobek Việt Nam - VPDD: Số 28 đường Hà Nội, Quán Toan, Hồng Bàng - Hải Phòng. Giá bán tại chân công trình</t>
  </si>
  <si>
    <t>Công ty cổ phần công nghệ Cao Minh Anh - Địa chỉ: P406, K12, Khu đô thị Việt Hưng, phường Giang Biên, quận Long Biên, Hà Nội - Giá bán tại chân công trình</t>
  </si>
  <si>
    <t>TT</t>
  </si>
  <si>
    <t>Loại VL</t>
  </si>
  <si>
    <t>ĐVT</t>
  </si>
  <si>
    <t>Quy cách</t>
  </si>
  <si>
    <t>Giá tháng trước</t>
  </si>
  <si>
    <t>Giá tháng này</t>
  </si>
  <si>
    <t>Tỷ lệ</t>
  </si>
  <si>
    <t>Sơn TOA</t>
  </si>
  <si>
    <t>Công ty TNHH sơn TOA Việt Nam - Giá bán tại chân công trình</t>
  </si>
  <si>
    <t>Sơn phủ ngoại thất 4 Seasons Trophic Shield</t>
  </si>
  <si>
    <t>18L</t>
  </si>
  <si>
    <t xml:space="preserve">Sơn phủ nội thất 4 Seasons Top Silk </t>
  </si>
  <si>
    <t>Sơn phủ nội thất Supertech pro mới</t>
  </si>
  <si>
    <t>Sơn phủ nội thất Homecote</t>
  </si>
  <si>
    <t>Sơn phủ nội thất Nitto Extra</t>
  </si>
  <si>
    <t>17L</t>
  </si>
  <si>
    <t>Sơn lót ngoại thất Supertech pro Sealer</t>
  </si>
  <si>
    <t>Sơn lót nội thất Supertech Pro Prime</t>
  </si>
  <si>
    <t>Chống thấm đa năng (pha xi măng)</t>
  </si>
  <si>
    <t>20kg</t>
  </si>
  <si>
    <t>40kg</t>
  </si>
  <si>
    <t>D500, dùng cho vỉa hè</t>
  </si>
  <si>
    <t>D500, dùng cho qua đường H30</t>
  </si>
  <si>
    <t>D600, dùng cho vỉa hè</t>
  </si>
  <si>
    <t>D600, dùng cho qua đường H30</t>
  </si>
  <si>
    <t>Chiều dài 2-4m, 01 lớp thép, 01 đầu loe, thành ống dày 60mm</t>
  </si>
  <si>
    <t>Chiều dài 2-4m, 02 lớp thép, một đầu loe, thành ống dày 60mm</t>
  </si>
  <si>
    <t>D750, dùng cho vỉa hè</t>
  </si>
  <si>
    <t>D750, dùng cho qua đường H30</t>
  </si>
  <si>
    <t>D800, dùng cho vỉa hè</t>
  </si>
  <si>
    <t>D800, dùng cho qua đường H30</t>
  </si>
  <si>
    <t>Chiều dài 2-4m, 01 lớp thép, 01 đầu loe, thành ống dày 80mm</t>
  </si>
  <si>
    <t>Chiều dài 2-4m, 02 lớp thép, một đầu loe, thành ống dày 80mm</t>
  </si>
  <si>
    <t>D1000, dùng cho vỉa hè</t>
  </si>
  <si>
    <t>D1000, dùng cho qua đường H30</t>
  </si>
  <si>
    <t>Chiều dài 2-4m, 01 lớp thép, 01 đầu loe, thành ống dày 100mm</t>
  </si>
  <si>
    <t>Chiều dài 2-4m, 02 lớp thép, một đầu loe, thành ống dày 100mm</t>
  </si>
  <si>
    <t>D1200, dùng cho vỉa hè</t>
  </si>
  <si>
    <t>D1200, dùng cho qua đường H30</t>
  </si>
  <si>
    <t>D1250, dùng cho vỉa hè</t>
  </si>
  <si>
    <t>D1250, dùng cho qua đường H30</t>
  </si>
  <si>
    <t>Chiều dài 1-2m, 02 lớp thép, một đầu loe, thành ống dày 120mm</t>
  </si>
  <si>
    <t>Chiều dài 1-2m, 01 lớp thép, 01 đầu loe, thành ống dày 120mm</t>
  </si>
  <si>
    <t>Chiều dài 1m, 01 lớp thép, 01 đầu loe, thành ống dày 120mm</t>
  </si>
  <si>
    <t>Chiều dài 1m, 02 lớp thép, một đầu loe, thành ống dày 120mm</t>
  </si>
  <si>
    <t>Chiều dài 1m, 01 lớp thép, 01 đầu loe, thành ống dày 140mm</t>
  </si>
  <si>
    <t>Chiều dài 1m, 02 lớp thép, một đầu loe, thành ống dày 140mm</t>
  </si>
  <si>
    <t>D1500, dùng cho vỉa hè</t>
  </si>
  <si>
    <t>D1500, dùng cho qua đường H30</t>
  </si>
  <si>
    <t>Công ty cổ phần đầu tư và phát triển CSHT Quảng Trị - Giá bao gồm chi phí bốc xếp lên phương tiện bên mua tại cụm công nghiệp Tân Định, xã Cam Thành, huyện Cam Lộ</t>
  </si>
  <si>
    <t xml:space="preserve"> </t>
  </si>
  <si>
    <t>Tiêu chuẩn kỹ thuật/ quy cách</t>
  </si>
  <si>
    <t>Công ty TNHH Thương mại số 1 - Giá bán tại các cửa hàng VLXD của công ty trên địa bàn tỉnh Quảng Trị</t>
  </si>
  <si>
    <t>Công ty TNHH MTV Phước Dũng - Giá giao tại chân công trình</t>
  </si>
  <si>
    <t>Công ty cổ phần khoáng sản Quảng Trị - Giá bán tại mỏ đá SCC, Khe Đá, xã Vĩnh Hòa, huyện Vĩnh Linh</t>
  </si>
  <si>
    <t>Công ty cổ phần Mười Thương - Địa chỉ: Số 190 Quốc lộ 1A, phường Đông Thanh, thành phố Đông Hà</t>
  </si>
  <si>
    <t>Công ty cổ phần tập đoàn Sơn Việt Nhật - Địa chỉ: Số 81 đường Trần Hưng Đạo, thành phố Đông Hà</t>
  </si>
  <si>
    <t>Nhà phân phối sơn Lâm Cường - Địa chỉ: Tiểu khu 1, thị trấn Ái Tử, huyện Triệu Phong</t>
  </si>
  <si>
    <t>Công ty cổ phần nhựa Đồng Nai
 - Địa chỉ trụ sở chính và nhà máy sản xuất: Đường số 9, KCN Biên Hòa 1, Biên Hòa, Đồng Nai.
 - Địa chỉ chi nhánh nhà máy sản xuất tại Miền Trung: Lô 6 KCN Điện Nam, Điện Ngọc, thị xã Điện Bàn, tỉnh Quảng Nam.
 - Giao hàng tại chân công trình, lấy hàng tại nhà máy sản xuất chi nhánh Quảng Nam.</t>
  </si>
  <si>
    <t>Công ty TNHH nhựa Châu Âu xanh - Địa chỉ: Km35 Quốc lộ 3, Thuận Thành, Phổ Yên, Thái Nguyê
- Giá bán đến chân công trình</t>
  </si>
  <si>
    <t>Công ty cổ phần SANTO - Địa chỉ: Số 199 Phố Trần Đăng Ninh, phường Dịch Vọng, quận Cầu Giấy, Hà Nội 
- Giá bán đến chân công trình</t>
  </si>
  <si>
    <t>Công ty cổ phần BA AN - Địa chỉ: Tầng 5, tòa nhà UDIC Complex N04, phố Hoàng Đạo Thúy, phường Trung Hòa, quận Cầu Giấy, Hà Nội - Giá bán đến chân công trình</t>
  </si>
  <si>
    <t>Công ty cổ phần đầu tư phát triển Vân Giang - Địa chỉ: Trung Yên, Yên Hòa, Cầu Giấy, Hà Nội
- Giá bán đã bao gồm chi phí vận chuyển đến công trình tại thành phố Đông Hà</t>
  </si>
  <si>
    <t>Công ty cổ phần Carbon Việt Nam - Giá bán đã bao gồm chi phí vận chuyển từ nhà máy đến trung tâm thành phố Đông Hà</t>
  </si>
  <si>
    <t xml:space="preserve"> Công ty cổ phần EXO - Địa chỉ: Hưng Phúc, Vinh, Nghệ An - Giá áp dụng trên địa bàn tỉnh Quảng Trị</t>
  </si>
  <si>
    <t>Công ty CPĐT - XD - TM - XNK Việt Anh - Địa chỉ: Hưng Phúc, Vinh, Nghệ An - Giá áp dụng trên địa bàn tỉnh Quảng Trị</t>
  </si>
  <si>
    <t>Công ty TNHH MTV thương mại và dịch vụ Việt Hoàng - Địa chỉ:  Số 129, Lê Thế Hiếu, thành phố Đông Hà</t>
  </si>
  <si>
    <t xml:space="preserve"> Công ty TNHH MTV thương mại và dịch vụ du lịch Vĩnh Hồ - Địa chỉ: Số 1 đường Khóa Bảo, phường 3, thành phố Đông Hà</t>
  </si>
  <si>
    <t>Công ty cổ phần bóng đèn Điện Quang - Giá bán trên địa bàn tỉnh Quảng Trị</t>
  </si>
  <si>
    <t>Đơn vị phân phối Công ty TNHH TM Phương Nam - Giá bán tại kho, địa chỉ 343 Lê Duẩn, thành phố Đông Hà</t>
  </si>
  <si>
    <t>Công ty TNHH thương mại dịch vụ Đường 9 - Giá bán giao trên phương tiện của khách hàng tại mỏ đá thôn Lương Lễ, xã Tân Hợp, huyện Hướng Hóa</t>
  </si>
  <si>
    <t>Đá mi</t>
  </si>
  <si>
    <t xml:space="preserve">Đá hộc xây dựng </t>
  </si>
  <si>
    <t>15x30</t>
  </si>
  <si>
    <t>Van xả khí và van gang</t>
  </si>
  <si>
    <t>Van xả khí tự động hiệu HIDROTEN 
(Tích hợp cút góc 90 độ)-DN 25
Kiểu nối ren, xuất xứ Tây Ban Nha</t>
  </si>
  <si>
    <t>DN 25
Áp lực làm việc: PN16
Diện tích thoát khí: 75mm2</t>
  </si>
  <si>
    <t>Van xả khí tự động hiệu HIDROTEN- DN 50
Kiểu nối ren, xuất xứ Tây Ban Nha</t>
  </si>
  <si>
    <t>DN50 
Áp lực làm việc: PN16
Diện tích thoát khí: 491mm2</t>
  </si>
  <si>
    <t>Van cổng ty chìm mặt bích tay quay/nắp chụp , xuất xứ Bồ Đào Nha - DN 50</t>
  </si>
  <si>
    <t>Gang cầu , PN 16</t>
  </si>
  <si>
    <t>Van cổng ty chìm mặt bích tay quay/nắp chụp , xuất xứ Bồ Đào Nha - DN 65</t>
  </si>
  <si>
    <t>Van cổng ty chìm mặt bích tay quay/nắp chụp , xuất xứ Bồ Đào Nha - DN 80</t>
  </si>
  <si>
    <t>Van cổng ty chìm mặt bích tay quay/nắp chụp , xuất xứ Bồ Đào Nha - DN 100</t>
  </si>
  <si>
    <t>Van cổng ty chìm mặt bích tay quay/nắp chụp , xuất xứ Bồ Đào Nha - DN 125</t>
  </si>
  <si>
    <t>Van cổng ty chìm mặt bích tay quay/nắp chụp , xuất xứ Bồ Đào Nha - DN 150</t>
  </si>
  <si>
    <t>Van cổng ty chìm mặt bích tay quay/nắp chụp , xuất xứ Bồ Đào Nha - DN 200</t>
  </si>
  <si>
    <t>Khớp nối mềm và phụ kiện gang</t>
  </si>
  <si>
    <t xml:space="preserve"> Khớp nối mềm gang cầu BE, gioăng cao su, Dùng nối ống HDPE/gang/thép/PVC/Inox</t>
  </si>
  <si>
    <t>ISO 2531:2009</t>
  </si>
  <si>
    <t>Khớp nối mềm gang cầu BE DN50 (mm)</t>
  </si>
  <si>
    <t xml:space="preserve">Bằng gang cầu </t>
  </si>
  <si>
    <t>Khớp nối mềm gang cầu BE DN 65 (mm)</t>
  </si>
  <si>
    <t>Khớp nối mềm gang cầu BE DN80 (mm)</t>
  </si>
  <si>
    <t>Khớp nối mềm gang cầu BE DN 100 (mm)</t>
  </si>
  <si>
    <t>Khớp nối mềm gang cầu BE DN 125 (mm)</t>
  </si>
  <si>
    <t>Khớp nối mềm gang cầu BE DN140 (mm)</t>
  </si>
  <si>
    <t>Khớp nối mềm gang cầu BE DN150 (mm)</t>
  </si>
  <si>
    <t>Khớp nối mềm gang cầu BE DN180 (mm)</t>
  </si>
  <si>
    <t>Khớp nối mềm gang cầu BE DN 200 (mm)</t>
  </si>
  <si>
    <t>Khớp nối mềm gang cầu BE DN 225 (mm)</t>
  </si>
  <si>
    <t>Khớp nối mềm gang cầu BE DN 250 (mm)</t>
  </si>
  <si>
    <t>Khớp nối mềm gang cầu BE DN 280 (mm)</t>
  </si>
  <si>
    <t>Khớp nối mềm gang cầu BE DN 300 (mm)</t>
  </si>
  <si>
    <t>Khớp nối mềm gang cầu BE DN 350 (mm)</t>
  </si>
  <si>
    <t>Khớp nối mềm gang cầu BE DN 400 (mm)</t>
  </si>
  <si>
    <t>Khớp nối mềm gang cầu BE DN 450 (mm)</t>
  </si>
  <si>
    <t>Khớp nối mềm EE, gang cầu, gioăng cao su, Dùng nối ống HDPE/gang/thép/PVC/inox</t>
  </si>
  <si>
    <t>Khớp nối mềm gang cầu EE DN 50  (mm)</t>
  </si>
  <si>
    <t>Khớp nối mềm gang cầu EE DN 65 (mm)</t>
  </si>
  <si>
    <t>Khớp nối mềm gang cầu EE DN  80 (mm)</t>
  </si>
  <si>
    <t>Khớp nối mềm gang cầu EE DN 100 (mm)</t>
  </si>
  <si>
    <t>Khớp nối mềm gang cầu EE DN 125 (mm)</t>
  </si>
  <si>
    <t>Khớp nối mềm gang cầu EE DN  140 (mm)</t>
  </si>
  <si>
    <t>Khớp nối mềm gang cầu EE DN 150 (mm)</t>
  </si>
  <si>
    <t>Khớp nối mềm gang cầu EE DN 180 (mm)</t>
  </si>
  <si>
    <t>Khớp nối mềm gang cầu EE DN 200 (mm)</t>
  </si>
  <si>
    <t>Khớp nối mềm gang cầu EE DN 225 (mm)</t>
  </si>
  <si>
    <t>Khớp nối mềm gang cầu EE DN 250 (mm)</t>
  </si>
  <si>
    <t>Khớp nối mềm gang cầu EE DN 280 (mm)</t>
  </si>
  <si>
    <t>Khớp nối mềm gang cầu EE DN 300 (mm)</t>
  </si>
  <si>
    <t>Khớp nối mềm gang cầu EE DN 350 (mm)</t>
  </si>
  <si>
    <t>Khớp nối mềm gang cầu EE DN 400 (mm)</t>
  </si>
  <si>
    <t>Khớp nối mềm gang cầu EE DN 450 (mm)</t>
  </si>
  <si>
    <t xml:space="preserve"> Khớp nối mềm gang cầu BE, tích hợp gioăng đồng chuyên dùng nối ống HDPE</t>
  </si>
  <si>
    <t xml:space="preserve"> Khớp nối mềm gang cầu EE, tích hợp gioăng đồng chuyên dùng nối ống HDPE</t>
  </si>
  <si>
    <t>Đai khởi thủy bằng gang cầu</t>
  </si>
  <si>
    <t>Đai khởi thủy gang cầu DN 32 (mm) x 1/2" ; 3/4"</t>
  </si>
  <si>
    <t>Bằng gang cầu Dầy 5mm</t>
  </si>
  <si>
    <t>Đai khởi thủy gang cầu DN 40(mm) x 1/2" ; 3/4"</t>
  </si>
  <si>
    <t>Bằng gang cầu  Dầy 5mm</t>
  </si>
  <si>
    <t>Đai khởi thủygang cầu DN 50(mm) x 1/2" ; 3/4"</t>
  </si>
  <si>
    <t>Đai khởi thủy gang cầu DN 63 (mm)x 1/2" ; 3/4"</t>
  </si>
  <si>
    <t>Đai khởi thủy gang cầu DN 75 (mm) x 1/2" ; 3/4"; 1"</t>
  </si>
  <si>
    <t>Đai khởi thủy gang cầu DN 90 (mm) x  3/4"' 1"</t>
  </si>
  <si>
    <t>Bằng gang cầu Dầy 7mm</t>
  </si>
  <si>
    <t>Đai khởi thủy gang cầu DN 90 (mm) x  1 1/4", 1 1/2'',  2''</t>
  </si>
  <si>
    <t xml:space="preserve"> Nắp chụp hố van gang bằng gang cầu</t>
  </si>
  <si>
    <t>Nắp chụp hố van gang cầu DN100 (mm)</t>
  </si>
  <si>
    <t>Nắp chụp hố van gang cầu DN150 (mm)</t>
  </si>
  <si>
    <t>Y lọc bằng gang  cầu</t>
  </si>
  <si>
    <t>Y lọc gang cầu DN50(mm)</t>
  </si>
  <si>
    <t>gang cầu</t>
  </si>
  <si>
    <t>Y lọc gang cầu DN65(mm)</t>
  </si>
  <si>
    <t>Y lọc gang cầu DN80(mm)</t>
  </si>
  <si>
    <t>Y lọc gang cầu DN100(mm)</t>
  </si>
  <si>
    <t>Y lọc gang cầu DN150(mm)</t>
  </si>
  <si>
    <t>Y lọc gang cầu DN200(mm)</t>
  </si>
  <si>
    <t>Van hút  gang cầu</t>
  </si>
  <si>
    <t>Van hút gang cầu DN50 (mm)</t>
  </si>
  <si>
    <t>Gang cầu</t>
  </si>
  <si>
    <t>Van hút gang cầu DN65 (mm)</t>
  </si>
  <si>
    <t>Van hút gang cầu DN80 (mm)</t>
  </si>
  <si>
    <t>Van hút gang cầu DN100 (mm)</t>
  </si>
  <si>
    <t>Van hút gang cầu DN150 (mm)</t>
  </si>
  <si>
    <t>Van hút gang cầu DN200 (mm)</t>
  </si>
  <si>
    <t>Tê lọc rác gang cầu cầu</t>
  </si>
  <si>
    <t>Tê lọc rác gang cầu DN50(mm)</t>
  </si>
  <si>
    <t>Tê lọc rác gang cầu DN65(mm)</t>
  </si>
  <si>
    <t>Tê lọc rác gang cầu DN80(mm)</t>
  </si>
  <si>
    <t>Tê lọc rác gang cầu DN100(mm)</t>
  </si>
  <si>
    <t>Tê lọc rác gang cầu DN125(mm)</t>
  </si>
  <si>
    <t>Tê lọc rác gang cầu DN150(mm)</t>
  </si>
  <si>
    <t>Cút gang cầu  45 độ, tích hợp gioăng cao su (BB)</t>
  </si>
  <si>
    <t>Cút (chếch)  gang cầu 45 độ DN 80 (mm)</t>
  </si>
  <si>
    <t>Cút (chếch) gang cầu 45 độ, DN 100 (mm)</t>
  </si>
  <si>
    <t>Cút (chếch) gang cầu 45 độ ,DN 150 (mm)</t>
  </si>
  <si>
    <t>Cút (chếch) gang cầu 45 độ, DN 200 (mm)</t>
  </si>
  <si>
    <t>Cút gang cầu  45 độ, tích hợp gioăng cao su (EE)</t>
  </si>
  <si>
    <t>Cút (chếch) gang cầu 45 độ, DN 180 (mm)</t>
  </si>
  <si>
    <t>Cút gang cầu  90 độ, tích hợp gioăng cao su (BB)</t>
  </si>
  <si>
    <t>Cút gang cầu 90 độ DN 80 (mm)</t>
  </si>
  <si>
    <t>Cút gang cầu 90 độ, DN 100 (mm)</t>
  </si>
  <si>
    <t>Cút gang cầu 90 độ ,DN 150 (mm)</t>
  </si>
  <si>
    <t>Cút gang cầu 90 độ, DN 200 (mm)</t>
  </si>
  <si>
    <t>Cút gang cầu  90 độ, tích hợp gioăng cao su (EE)</t>
  </si>
  <si>
    <t>Cút gang cầu 90 độ, DN 180 (mm)</t>
  </si>
  <si>
    <t>Cút gang cầu EE (FF) 45 độ, tích hợp gioăng đồng</t>
  </si>
  <si>
    <t>Cút EE (chếch)gang cầu 45 độ DN 80 (mm)</t>
  </si>
  <si>
    <t>Cút EE (chếch) gang cầu 45 độ, DN 100 (mm)</t>
  </si>
  <si>
    <t>Cút EE (chếch) gang cầu 45 độ ,DN 150 (mm)</t>
  </si>
  <si>
    <t>Cút EE(chếch) gang cầu 45 độ, DN 180 (mm)</t>
  </si>
  <si>
    <t>Cút EE(chếch) gang cầu 45 độ, DN 200 (mm)</t>
  </si>
  <si>
    <t>Cút gang cầu EE (FF) 90 độ, tích hợp gioăng đồng</t>
  </si>
  <si>
    <t>Cút EE gang cầu 90 độ DN 80 (mm)</t>
  </si>
  <si>
    <t>Cút EE gang cầu 90 độ, DN 100 (mm)</t>
  </si>
  <si>
    <t>Cút EE gang cầu 90 độ ,DN 150 (mm)</t>
  </si>
  <si>
    <t>Cút EE gang cầu 90 độ, DN 180 (mm)</t>
  </si>
  <si>
    <t>Cút EE gang cầu 90 độ, DN 200 (mm)</t>
  </si>
  <si>
    <t>Bù BU bằng gang cầu</t>
  </si>
  <si>
    <t>Bù BU gang cầu DN 80 (mm)</t>
  </si>
  <si>
    <t>Bù BU gang cầu, DN 100 (mm)</t>
  </si>
  <si>
    <t>Bù BU gang cầu,DN 150 (mm)</t>
  </si>
  <si>
    <t>Bù BU gang cầu, DN 180 (mm)</t>
  </si>
  <si>
    <t>Bù BU gang cầu, DN 200 (mm)</t>
  </si>
  <si>
    <t>Tê gang cầu tích hợp gioăng đồng (FBF)</t>
  </si>
  <si>
    <t>Tê gang cầuDN100*80(mm)</t>
  </si>
  <si>
    <t>Tê gang cầuDN 100*100(mm)</t>
  </si>
  <si>
    <t>Tê gang cầuDN 150*80(mm)</t>
  </si>
  <si>
    <t>Tê gang cầuDN 150*100(mm)</t>
  </si>
  <si>
    <t>Tê gang cầuDN 150*150(mm)</t>
  </si>
  <si>
    <t>Tê gang cầuDN 180 x80(mm)</t>
  </si>
  <si>
    <t>Tê gang cầuDN 180 x 100(mm)</t>
  </si>
  <si>
    <t>Tê gang cầuDN 180 x 180(mm)</t>
  </si>
  <si>
    <t>Tê gang cầuDN 200*80(mm)</t>
  </si>
  <si>
    <t>Tê gang cầuDN 200*100(mm)</t>
  </si>
  <si>
    <t>Tê gang cầuDN 200*150(mm)</t>
  </si>
  <si>
    <t>Tê gang cầuDN 200*200(mm)</t>
  </si>
  <si>
    <t>Tê gang cầu tích hợp gioăng đồng (EEE)</t>
  </si>
  <si>
    <t>Tê gang cầuDN 80*80(mm)</t>
  </si>
  <si>
    <t>Côn thu EE gang cầu, tích hợp gioăng đồng</t>
  </si>
  <si>
    <t>Côn thu EE gang cầu DN100*80(mm)</t>
  </si>
  <si>
    <t>Côn thu EE gang cầuDN 150*80(mm)</t>
  </si>
  <si>
    <t>Côn thu EE gang cầuDN 150*100(mm)</t>
  </si>
  <si>
    <t>Côn thu EE gang cầuDN 180 x80(mm)</t>
  </si>
  <si>
    <t>Côn thu EE gang cầuDN 180 x 100(mm)</t>
  </si>
  <si>
    <t>Côn thu EE gang cầuDN 200*80(mm)</t>
  </si>
  <si>
    <t>Côn thu EE gang cầuDN 200*100(mm)</t>
  </si>
  <si>
    <t>Côn thu EE gang cầuDN 200*150(mm)</t>
  </si>
  <si>
    <t>Côn thu gang cầu, gioăng cao su (BB)</t>
  </si>
  <si>
    <t>Côn thu gang cầu DN100*80 (mm)</t>
  </si>
  <si>
    <t>Côn thu gang cầuDN 150*80 (mm)</t>
  </si>
  <si>
    <t>Côn thu gang cầuDN 150*100 (mm)</t>
  </si>
  <si>
    <t>Côn thu gang cầuDN 180 x 80 (mm)</t>
  </si>
  <si>
    <t>Côn thu gang cầuDN 180 x 100 (mm)</t>
  </si>
  <si>
    <t>Côn thu gang cầuDN 200x 80 (mm)</t>
  </si>
  <si>
    <t>Côn thu gang cầuDN200*100 (mm)</t>
  </si>
  <si>
    <t>Côn thu gang cầuDN200*150 (mm)</t>
  </si>
  <si>
    <t>Côn thu gang cầu, gioăng cao su (EE)</t>
  </si>
  <si>
    <t>Tê gang cầu gioăng cao su (FBF)</t>
  </si>
  <si>
    <t>Tê gang cầu gioăng cao su (EEE)</t>
  </si>
  <si>
    <t>Tê gang cầu BBB</t>
  </si>
  <si>
    <t>Trụ cứu hỏa</t>
  </si>
  <si>
    <t>ISO 2531:2009; ISO 9001: 2015</t>
  </si>
  <si>
    <t>Trụ cứu hỏa gang cầu DN 100 hiệu ATK model ATK100</t>
  </si>
  <si>
    <t>Trụ cứu hỏa gang xám DN 100 hiệu VTECO model ATK100</t>
  </si>
  <si>
    <t>Gang xám</t>
  </si>
  <si>
    <t>Đai sửa chữa Inox</t>
  </si>
  <si>
    <t>ISO 9001:2015</t>
  </si>
  <si>
    <t>Đai sửa chữa Inox 1 mảnh DN 25</t>
  </si>
  <si>
    <t>Inox 304</t>
  </si>
  <si>
    <t>Đai sửa chữa Inox 1 mảnh DN 32</t>
  </si>
  <si>
    <t>Đai sửa chữa Inox 1 mảnh DN 40</t>
  </si>
  <si>
    <t>Đai sửa chữa Inox 1 mảnh DN 50</t>
  </si>
  <si>
    <t>Đai sửa chữa Inox 1 mảnh DN 65</t>
  </si>
  <si>
    <t>Đai sửa chữa Inox  loại 2 mảnh, DN 80</t>
  </si>
  <si>
    <t>Đai sửa chữa Inox  loại 2 mảnh, DN 100</t>
  </si>
  <si>
    <t>Đai sửa chữa Inox  loại 2 mảnh, DN 125</t>
  </si>
  <si>
    <t>Đai sửa chữa Inox  loại 2 mảnh, DN 150</t>
  </si>
  <si>
    <t>Đai sửa chữa Inox  loại 2 mảnh, DN 180</t>
  </si>
  <si>
    <t>Đai sửa chữa Inox  loại 2 mảnh, DN 200</t>
  </si>
  <si>
    <t>Đai sửa chữa Inox  loại 2 mảnh, DN 225</t>
  </si>
  <si>
    <t>Đai sửa chữa Inox  loại 2 mảnh, DN 250</t>
  </si>
  <si>
    <t>Đai sửa chữa Inox  loại 2 mảnh, DN 280</t>
  </si>
  <si>
    <t>Đai sửa chữa Inox  loại 2 mảnh, DN 300</t>
  </si>
  <si>
    <t>Đai sửa chữa Inox  loại 2 mảnh, DN 350</t>
  </si>
  <si>
    <t>Đai sửa chữa Inox  loại 2 mảnh, DN 380</t>
  </si>
  <si>
    <t>Đai sửa chữa Inox  loại 2 mảnh, DN 400</t>
  </si>
  <si>
    <t>Đai sửa chữa Inox  loại 2 mảnh, DN 450</t>
  </si>
  <si>
    <t>Đai sửa chữa Inox  loại 2 mảnh, DN 480</t>
  </si>
  <si>
    <t>Đai sửa chữa Inox  loại 2 mảnh, DN 500</t>
  </si>
  <si>
    <t>Cát tô</t>
  </si>
  <si>
    <t>350x1070mm 3dem5</t>
  </si>
  <si>
    <t>400x1070mm 4dem</t>
  </si>
  <si>
    <t>450x1070mm 4dem5</t>
  </si>
  <si>
    <t>500x1070mm 5dem0</t>
  </si>
  <si>
    <t>Tôn màu Đông Á - AZ50</t>
  </si>
  <si>
    <t>Tôn lạnh màu Đông Á - AZ75</t>
  </si>
  <si>
    <t>260x1070mm 2dem6</t>
  </si>
  <si>
    <t>300x1070mm 3dem</t>
  </si>
  <si>
    <t>Ống nhựa PPR Sino</t>
  </si>
  <si>
    <t>Ống cấp nước lạnh D20 PN10</t>
  </si>
  <si>
    <t>Ống cấp nước lạnh D25 PN10</t>
  </si>
  <si>
    <t>Ống cấp nước lạnh D3 PN10</t>
  </si>
  <si>
    <t>Ống cấp nước lạnh D40 PN10</t>
  </si>
  <si>
    <t>Ống cấp nước lạnh D50 PN10</t>
  </si>
  <si>
    <t>Ống cấp nước lạnh D63 PN10</t>
  </si>
  <si>
    <t>Ống cấp nước lạnh D75 PN10</t>
  </si>
  <si>
    <t>Ống cấp nước nóng D20 PN20</t>
  </si>
  <si>
    <t>Ống cấp nước nóng D25 PN20</t>
  </si>
  <si>
    <t>Ống cấp nước nóng D32 PN20</t>
  </si>
  <si>
    <t>Ống cấp nước nóng D40 PN20</t>
  </si>
  <si>
    <t>Ống cấp nước nóng D50 PN20</t>
  </si>
  <si>
    <t>Ống uPVC Sino</t>
  </si>
  <si>
    <t>Ống D34 Class2</t>
  </si>
  <si>
    <t>Ống D42 Class2</t>
  </si>
  <si>
    <t>Ống D48 Class2</t>
  </si>
  <si>
    <t>Ống D60 Class2</t>
  </si>
  <si>
    <t>Ống D75 Class2</t>
  </si>
  <si>
    <t>Ống D90 Class2</t>
  </si>
  <si>
    <t>Ống D110 Class2</t>
  </si>
  <si>
    <t>Ống D140 Class2</t>
  </si>
  <si>
    <t>Ống D200 Class2</t>
  </si>
  <si>
    <t>Ống D300 Class2</t>
  </si>
  <si>
    <t>Công ty TNHH MTV Việt Khải Hưng, địa chỉ 19 Nguyễn Công Trứ, thành phố Đông Hà - Giá bán tại thành phố Đông Hà</t>
  </si>
  <si>
    <t>chiếc</t>
  </si>
  <si>
    <t>Ống cứng D16 chống cháy</t>
  </si>
  <si>
    <t>cây</t>
  </si>
  <si>
    <t>2,92m/cây</t>
  </si>
  <si>
    <t>Ống cứng D20 chống cháy</t>
  </si>
  <si>
    <t>Ống cứng D25 chống cháy</t>
  </si>
  <si>
    <t>Ống cứng D32 chống cháy</t>
  </si>
  <si>
    <t>Ống xoán HDPE D40/30</t>
  </si>
  <si>
    <t>Ống xoán HDPE D50/40</t>
  </si>
  <si>
    <t>Ống xoán HDPE D65/50</t>
  </si>
  <si>
    <t>Bột trét nội thất (40kg)</t>
  </si>
  <si>
    <t>Bột trét ngoại thất (40kg)</t>
  </si>
  <si>
    <t>Tôn xốp giấy bạc, độ dày lớp xốp 16/40mm, tôn cán 6 sóng khổ 1.075m, hiệu dụng 1m.1mdài = 1.075m2</t>
  </si>
  <si>
    <t>0,40mm x 1075mm</t>
  </si>
  <si>
    <t>Tôn nền Đại Long AZ100 (màu xanh rêu)</t>
  </si>
  <si>
    <t xml:space="preserve">0,45mm x 1075mm </t>
  </si>
  <si>
    <t>Tôn nền Bluescope Zacs Hoa Cương Công nghệ Inok AZ100</t>
  </si>
  <si>
    <t>0,50mm x 1075mm</t>
  </si>
  <si>
    <t>Tôn nền Zacs Bền màu Công nghệ Inok AZ100</t>
  </si>
  <si>
    <t>0,45mm x 1075mm</t>
  </si>
  <si>
    <t>0,30mm x 1075mm</t>
  </si>
  <si>
    <t>Tôn nền Thăng Long – Việt Ý</t>
  </si>
  <si>
    <t>0,35mm x 1075mm</t>
  </si>
  <si>
    <t>0,42mm x 1075mm</t>
  </si>
  <si>
    <t>Sử dụng tôn nền Việt Nhật Trung Quốc</t>
  </si>
  <si>
    <t>Sử dụng tôn nền Lạnh trắng Phương Nam AZ100</t>
  </si>
  <si>
    <t>Tôn cán 5 sóng khổ 1.090m, hiệu dụng 0.99m 1mdài = 1.090m2 Tôn cán 6 sóng khổ 1.075m, hiệu dụng 1m.1mdài = 1.075m2</t>
  </si>
  <si>
    <t>0,40mm x 1090mm/1075mm</t>
  </si>
  <si>
    <t>Tôn nền Đại Long AZ100</t>
  </si>
  <si>
    <t>0,45mm x 1090mm/1075mm</t>
  </si>
  <si>
    <t xml:space="preserve">0,45mm x 1090mm/1075mm </t>
  </si>
  <si>
    <t>VA LEDOLPHIN ST30W (nhập khẩu nguyên bộ)</t>
  </si>
  <si>
    <t>VA LEDOLPHIN ST40W (nhập khẩu nguyên bộ)</t>
  </si>
  <si>
    <t>VA LEDOLPHIN ST50W (nhập khẩu nguyên bộ)</t>
  </si>
  <si>
    <t>VA LEDOLPHIN ST60W (nhập khẩu nguyên bộ)</t>
  </si>
  <si>
    <t>VA LEDOLPHIN ST90W (nhập khẩu nguyên bộ)</t>
  </si>
  <si>
    <t>VA LEDOLPHIN ST100W (nhập khẩu nguyên bộ)</t>
  </si>
  <si>
    <t>VA LEDOLPHIN ST120W (nhập khẩu nguyên bộ)</t>
  </si>
  <si>
    <t>VA LEDOLPHIN ST150W (nhập khẩu nguyên bộ)</t>
  </si>
  <si>
    <t>VA LEDOLPHIN ST180W (nhập khẩu nguyên bộ)</t>
  </si>
  <si>
    <t>Bộ đèn đường Philips BRP391 LED 80W PSDD (nhập khẩu nguyên bộ)</t>
  </si>
  <si>
    <t>Bộ đèn đường Philips BRP392 LED 88W PSDD (nhập khẩu nguyên bộ)</t>
  </si>
  <si>
    <t>Bộ đèn đường Philips BRP392 LED 96W PSDD (nhập khẩu nguyên bộ)</t>
  </si>
  <si>
    <t>Bộ đèn đường Philips BRP392 LED 121W PSDD (nhập khẩu nguyên bộ)</t>
  </si>
  <si>
    <t>Bộ đèn đường Philips BRP392 LED 138W PSDD (nhập khẩu nguyên bộ)</t>
  </si>
  <si>
    <t>Bộ đèn đường Philips BRP392 LED 150W PSDD (nhập khẩu nguyên bộ)</t>
  </si>
  <si>
    <t>Bộ đèn đường Philips BRP392 LED 158W PSDD (nhập khẩu nguyên bộ)</t>
  </si>
  <si>
    <t xml:space="preserve">Đèn VA Lighting </t>
  </si>
  <si>
    <t>Đèn Philips</t>
  </si>
  <si>
    <t>NHỰA ĐƯỜNG CÁC LOẠI</t>
  </si>
  <si>
    <t>CÁC LOẠI VẬT TƯ, VẬT LIỆU KHÁC</t>
  </si>
  <si>
    <t xml:space="preserve">Bộ </t>
  </si>
  <si>
    <t>CK</t>
  </si>
  <si>
    <t>Nhựa đường Carboncor Asphalt - CA 6,7; 9,5</t>
  </si>
  <si>
    <t>Gạch nung đặc A1</t>
  </si>
  <si>
    <t>200x90x60</t>
  </si>
  <si>
    <t>200x95x60</t>
  </si>
  <si>
    <t>Gạch tuynel - Công ty cổ phần gạch ngói Quảng Trị - Giá đã bao gồm bốc phương tiện bên mua, địa chỉ: Xã Cam Hiếu, huyện Cam Lộ</t>
  </si>
  <si>
    <t>Gạch nung 6 lỗ</t>
  </si>
  <si>
    <t>Gạch nung 4 lỗ</t>
  </si>
  <si>
    <t>Gạch nung 2 lỗ</t>
  </si>
  <si>
    <t>VẬT TƯ NƯỚC</t>
  </si>
  <si>
    <t>VẬT TƯ ĐIỆN</t>
  </si>
  <si>
    <t>XVI</t>
  </si>
  <si>
    <t>  14x1,2</t>
  </si>
  <si>
    <t>Vg14x14x1,2*6m</t>
  </si>
  <si>
    <t>  20 x1,2</t>
  </si>
  <si>
    <t>vg20x20x1,2*6m</t>
  </si>
  <si>
    <t>  20 x1,4</t>
  </si>
  <si>
    <t>vg20x20x1,4*6m</t>
  </si>
  <si>
    <t>  25x1,2</t>
  </si>
  <si>
    <t>vg25x25x1,2*6m</t>
  </si>
  <si>
    <t>  30x1,2</t>
  </si>
  <si>
    <t>vg30x30x1,2*6m</t>
  </si>
  <si>
    <t>  30x1,4</t>
  </si>
  <si>
    <t>vg30x30x1,4*6m</t>
  </si>
  <si>
    <t>  40x1,2</t>
  </si>
  <si>
    <t>vg40x40x1,2*6m</t>
  </si>
  <si>
    <t>  40x1,4</t>
  </si>
  <si>
    <t>vg40x40x1,4*6m</t>
  </si>
  <si>
    <t>  40x1,8</t>
  </si>
  <si>
    <t>vg40x40x1,8*6m</t>
  </si>
  <si>
    <t>hộp 20x40 x1,2*6m</t>
  </si>
  <si>
    <t>hộp 20x40 x1,4*6m</t>
  </si>
  <si>
    <t>25x50</t>
  </si>
  <si>
    <t>hộp 25x50 x1,0*6m</t>
  </si>
  <si>
    <t>hộp 25x50 x1,2*6m</t>
  </si>
  <si>
    <t>30x60</t>
  </si>
  <si>
    <t>hộp 30x60 x1,1*6m</t>
  </si>
  <si>
    <t>hộp 30x60 x1,2*6m</t>
  </si>
  <si>
    <t>hộp 30x60 x1,4*6m</t>
  </si>
  <si>
    <t>hộp 30x60 x1,8*6m</t>
  </si>
  <si>
    <t>40x80</t>
  </si>
  <si>
    <t>hộp 40x80 x1,2*6m</t>
  </si>
  <si>
    <t>hộp 40x80 x1,4*6m</t>
  </si>
  <si>
    <t>hộp 40x80 x1,8*6m</t>
  </si>
  <si>
    <t>hộp 40x80 x2,0*6m</t>
  </si>
  <si>
    <t>50x100</t>
  </si>
  <si>
    <t>hộp 50x100 x1,4*6m</t>
  </si>
  <si>
    <t>hộp 50x100 x1,8*6m</t>
  </si>
  <si>
    <t>hộp 50x100 x2,0*6m</t>
  </si>
  <si>
    <t>60x120</t>
  </si>
  <si>
    <t>hộp 60x120 x1,8*6m</t>
  </si>
  <si>
    <t>Ф  42</t>
  </si>
  <si>
    <t xml:space="preserve"> fi 42,2x1,4 *6m</t>
  </si>
  <si>
    <t>Ф  49</t>
  </si>
  <si>
    <t>Ф  60</t>
  </si>
  <si>
    <t xml:space="preserve"> fi 59,9x1,4*6m</t>
  </si>
  <si>
    <t>Ф  76</t>
  </si>
  <si>
    <t xml:space="preserve"> fi 75,6x1,4*6m</t>
  </si>
  <si>
    <t xml:space="preserve"> fi 75,6x1,8*6m</t>
  </si>
  <si>
    <t>Ф  90</t>
  </si>
  <si>
    <t xml:space="preserve"> fi 88,3x1,4*6m</t>
  </si>
  <si>
    <t xml:space="preserve"> fi 88,3x1,8*6m</t>
  </si>
  <si>
    <t>Ф  114</t>
  </si>
  <si>
    <t xml:space="preserve"> fi 113,5x1,4*6m</t>
  </si>
  <si>
    <t xml:space="preserve"> fi 113,5x1,8*6m</t>
  </si>
  <si>
    <t>Thép Minh Phú, Cường Phát</t>
  </si>
  <si>
    <t>14x14</t>
  </si>
  <si>
    <t>16x16</t>
  </si>
  <si>
    <t>13x26</t>
  </si>
  <si>
    <t>20x20</t>
  </si>
  <si>
    <t>25x25</t>
  </si>
  <si>
    <t>30x30</t>
  </si>
  <si>
    <t>40x40</t>
  </si>
  <si>
    <t>50x50</t>
  </si>
  <si>
    <t>Thép hộp Minh Ngọc</t>
  </si>
  <si>
    <t>Thép hộp Hóa Phát</t>
  </si>
  <si>
    <t>Thép hộp Nhật Quang</t>
  </si>
  <si>
    <t>Thép hộp Cường Phát</t>
  </si>
  <si>
    <t>Dày 1,1</t>
  </si>
  <si>
    <t>Dày 1,2</t>
  </si>
  <si>
    <t>Dày 1,4</t>
  </si>
  <si>
    <t>Dày 1,8</t>
  </si>
  <si>
    <t>Dày 1,0</t>
  </si>
  <si>
    <t>Dày 2,0</t>
  </si>
  <si>
    <t>Đèn chiếu sáng ngoài trời thương hiệu Schreder</t>
  </si>
  <si>
    <t>Đèn chiếu sáng ngoài trời thương hiệu Điện quang</t>
  </si>
  <si>
    <t>Đèn chiếu sáng trong nhà thương hiệu Điện quang</t>
  </si>
  <si>
    <t>Sơn Kansai</t>
  </si>
  <si>
    <t xml:space="preserve">Công ty TNHH MTV thương mại và dịch vụ Gia Việt - Giá bán tại cửa hàng, địa chỉ: 350 Lê Duẩn,Thành Phố Đông Hà,Tỉnh Quảng Trị </t>
  </si>
  <si>
    <t>Sơn lót chống kiềm nội thất Primer for Interior (25kg)</t>
  </si>
  <si>
    <t>Sơn lót chống kiềm siêu hạng Primer Sealer 1035 (25kg)</t>
  </si>
  <si>
    <t>Sơn nội thất bóng mờ I Decor3 đa màu (25kg)</t>
  </si>
  <si>
    <t>Sơn nội thất bóng mờ cao cấp  I Decor5 đa màu (25kg)</t>
  </si>
  <si>
    <t>Sơn ngoại thất bóng mờ X-Shield đa màu (25kg)</t>
  </si>
  <si>
    <t>Sơn chống thấm pha xi măng Proof Pro (20kg)</t>
  </si>
  <si>
    <t>Sơn chống thấm 1 thành phần Aqua Shield (24kg)</t>
  </si>
  <si>
    <t>Bột trét nội thất Eco Skimcoat For Interior (40kg)</t>
  </si>
  <si>
    <t>Bột bả ngoại thất Eco Skimcoat For All (40kg)</t>
  </si>
  <si>
    <t>Bộ đèn LED Downlight Điện Quang ĐQ LRD12 05765 75 (5W Daylight, Ø75 mm)</t>
  </si>
  <si>
    <t>Bộ đèn LED Downlight Điện Quang ĐQ LRD12 07765 90 (7W Daylight, Ø90 mm)</t>
  </si>
  <si>
    <t>Bộ đèn LED Downlight Điện Quang ĐQ LRD12 09765 90 (9W Daylight, Ø90 mm)</t>
  </si>
  <si>
    <t>Bộ đèn LED Downlight Điện Quang ĐQ LRD12 11765 110 (11W Daylight, Ø110 mm)</t>
  </si>
  <si>
    <t>Bộ đèn LED downlight Điện Quang ĐQ LRD12 15765 160 (15W daylight, Ø160 mm)</t>
  </si>
  <si>
    <t>Bộ đèn LED tube Điện Quang ĐQ LEDFX06 09765M-V03 (9W daylight, mini nắp rời 0.6m, TU06)</t>
  </si>
  <si>
    <t>Bộ đèn LED tube Điện Quang ĐQ LEDFX09 09765M-V03 (9W daylight, mini nắp rời 0.6m, TU09)</t>
  </si>
  <si>
    <t>Đèn LED tube Điện Quang ĐQ LEDTU09 18765 HPF V02 (1.2m 18W Daylight thân nhôm chụp nhựa mờ, hệ số công suất cao, free flicker)</t>
  </si>
  <si>
    <t>Bộ đèn LED tube Điện Quang ĐQ LEDFX06 18765M-V03 (18W daylight, mini nắp rời 1.2m, TU06)</t>
  </si>
  <si>
    <t>Bộ đèn LED tube Điện Quang ĐQ LEDFX09 18765M-V03 (18W daylight, mini nắp rời 1.2m, TU09)</t>
  </si>
  <si>
    <t>Đèn LED tube Điện Quang ĐQ LEDTU09 20765 (1.2m 20W Daylight thân nhôm chụp nhựa mờ)</t>
  </si>
  <si>
    <t>TCCS-109.2019.ĐQC
TCCS-117.2016.ĐQC
LM-79, LM-80
TCCS-115.2016.ĐQC
TCCS-121.2021.ĐQC
TCCS-116.2016.ĐQC 
TCVN 7722-1. 2017
TCVN 7722-2-2.2007
IEC 60598-2-2: 1997</t>
  </si>
  <si>
    <t>TCCS-109.2016/DQC
TCCS-115.2016/DQC
TCCS-116.2016/DQC
TCCS-119.2016/DQC
TCCS-117.2016/DQC
TCCS-120.2016/DQC
TCCS-121.2016/DQC</t>
  </si>
  <si>
    <t>Bộ đèn đường LED Alley 1 - 30 (Thông số công suất 30W, V03- Driver MeanWell)</t>
  </si>
  <si>
    <t>TCVN 7722-2-3 (IEC 60598-2-3) LM79 / LM80</t>
  </si>
  <si>
    <t>Bộ đèn đường LED Alley 2 - 100 (Thông số công suất 100W, V03- Driver MeanWell)</t>
  </si>
  <si>
    <t>Bộ đèn đường LED Alley 3 - 120 (Thông số công suất 120W, V03- Driver MeanWell)</t>
  </si>
  <si>
    <t>Bộ đèn đường LED Alley 4 - 200 (Thông số công suất 20W, V03- Driver MeanWell)</t>
  </si>
  <si>
    <t>Bộ đèn LED đường TITAN 1-30 (30W, Ra70, B2B)</t>
  </si>
  <si>
    <t>Bộ đèn LED đường TITAN 1-40 (40W, Ra70, B2B)</t>
  </si>
  <si>
    <t>Bộ đèn LED đường TITAN 1-50 (50W, Ra70, B2B)</t>
  </si>
  <si>
    <t>Đèn đường LED TITAN 2-100 (Thông số công suất 100W)</t>
  </si>
  <si>
    <t>TCVN 7722-2-2:2007(IEC 60598-2-2:1997) 
TCVN 7186:2018 –CISPR 15:2018 LM79 / LM80</t>
  </si>
  <si>
    <t>Đèn đường LED TITAN 3-120 (Thông số công suất 120W)</t>
  </si>
  <si>
    <t>Bộ đèn LED đường TITAN 3-150 (150W, Ra70, B2B)</t>
  </si>
  <si>
    <t>Đèn pha NEPTUNE 50 ( Thông số công suất 50W)</t>
  </si>
  <si>
    <t>TCVN 7722-2-5:2007(IEC 60598-2-5:1998)
TCVN 7186:2018 –CISPR 15:2018
LM79 / LM80</t>
  </si>
  <si>
    <t>Đèn pha NEPTUNE 100 ( Thông số công suất 100W)</t>
  </si>
  <si>
    <t>Đèn pha NEPTUNE 150 ( Thông số công suất 150W)</t>
  </si>
  <si>
    <t>Đèn pha NEPTUNE 200 ( Thông số công suất 200W)</t>
  </si>
  <si>
    <t>Đèn Helios 1 - H1 30740 04K032L350A - 02A1 P50-GR </t>
  </si>
  <si>
    <t>Đèn Helios 1- H1 40740 05K32L420A - 02A1 P50-GR</t>
  </si>
  <si>
    <t>Đèn Helios 1 - H1 50740 06K032L500A - 02A1 P50-GR </t>
  </si>
  <si>
    <t>Đèn Helios 1 - H1 60740 07K032L650A - 02A1 P50-GR </t>
  </si>
  <si>
    <t>Đèn Helios 1 - H1 70740 08K032L720A - 02A1 P50-GR </t>
  </si>
  <si>
    <t>Đèn Helios 1 - H1 75740 09K032L800A - 02A1 P50-GR </t>
  </si>
  <si>
    <t>Đèn Helios 1- H1 80740 9K532L900A - 02A1 P50-GR</t>
  </si>
  <si>
    <t>Đèn Helios 1 - H1 90740 12K048L650A - 03A1 P50-GR </t>
  </si>
  <si>
    <t>Đèn Helios 1 - H1 105740 13K048L750A - 03A1 P50-GR </t>
  </si>
  <si>
    <t>Đèn Helios 1 - H1 110740 13K048L800A - 03A1 P50-GR </t>
  </si>
  <si>
    <t>Đèn Helios 1 - H1 120740 15K064L630A - 04A1 P50-GR </t>
  </si>
  <si>
    <t>Đèn Helios 1- H1 130740 16K064L700A - 04A1 P50-GR</t>
  </si>
  <si>
    <t>Đèn Helios 1 - H1 140740 18K064L750A - 04A1 P50-GR</t>
  </si>
  <si>
    <t xml:space="preserve">Đèn Helios 1 - H1 150740 19K064L800A - 04A1 P50-GR </t>
  </si>
  <si>
    <t>Đèn Helios 1- H1 160740 19K80L660A - 05A1 P50-GR</t>
  </si>
  <si>
    <t>Đèn Helios 1- H1 175740 20K80L720A - 05A1 P50-GR</t>
  </si>
  <si>
    <t>Đèn Helios 1- H1 185740 21K80L760A - 05A1 P50-GR</t>
  </si>
  <si>
    <t>Đèn Helios 1- H1 190740 22K80L800A - 05A1 P50-GR</t>
  </si>
  <si>
    <t>Đèn Helios 2- H2 210740 25K96L730A - 06A1 P50-GR</t>
  </si>
  <si>
    <t>Đèn Helios 2- H2 220740 26K96L760A - 06A1 P50-GR</t>
  </si>
  <si>
    <t>Đèn Helios 2- H2 230740 28K112L690A - 07A1 P50-GR</t>
  </si>
  <si>
    <t>Đèn Helios 2- H2 240740 29K112L720A - 07A1 P50-GR</t>
  </si>
  <si>
    <t>Đèn đường Horus 1-60(60W, 4000K, Ra70,S130, 700mA, 32LED, P50, GR, B2B)</t>
  </si>
  <si>
    <t>Đèn đường Horus 1-70(70W, 4000K, Ra70,S130, 790mA, 32LED, P50, GR, B2B)</t>
  </si>
  <si>
    <t>Đèn đường Horus 2-80(80W, 4000K, Ra70,S130, 910mA, 32LED, P50, GR, B2B) </t>
  </si>
  <si>
    <t>Đèn đường Horus 2-90(90W, 4000K, Ra70,S130, 700mA, 48LED, P50, GR, B2B) </t>
  </si>
  <si>
    <t>Đèn đường Horus 2-100(100W, 4000K, Ra70,S130, 750mA, 48LED, P50, GR, B2B) </t>
  </si>
  <si>
    <t>Đèn đường Horus 2-110(110W, 4000K, Ra70,S130, 830mA, 48LED, P50, GR, B2B) </t>
  </si>
  <si>
    <t>Đèn đường Horus 2-120(120W, 4000K, Ra70,S130, 910mA, 48LED, P50, GR, B2B)</t>
  </si>
  <si>
    <t>Đèn đường AVENTO S 96LED 71W NW 4000K - IK09-100.000h L80</t>
  </si>
  <si>
    <t>Đèn đường AVENTO 1 144LED 108W NW 4000K - IK09-100.000h L80</t>
  </si>
  <si>
    <t>Đèn đường AVENTO 1 192LED 142W NW 4000K - IK09-100.000h L80</t>
  </si>
  <si>
    <t>Đèn INDUFLOOD Gen2 1 24LED 31W- IK09 - IP66 - 55.000h L90</t>
  </si>
  <si>
    <t>Đèn INDUFLOOD Gen2 1 48LED 63W- IK09 - IP66 - 55.000h L90</t>
  </si>
  <si>
    <t>Đèn INDUFLOOD Gen2 2 96LED 125W- IK09 - IP66 - 55.000h L90</t>
  </si>
  <si>
    <t>Đèn AMPERA MIDI 48LED 700mA 100W NW Class I 100.000hrs - DIM 5 Step 10KV</t>
  </si>
  <si>
    <t>Đèn AMPERA MIDI 64LED 700mA 135W NW Class I 100.000hrs - DIM 5 Step 10KV</t>
  </si>
  <si>
    <t>Sơn lót dùng cho sân Tennis (18kg)</t>
  </si>
  <si>
    <t>Sơn lót kháng kiềm trong nhà K109 (20kg)</t>
  </si>
  <si>
    <t>Sơn không bóng trong nhà K771 (20kg)</t>
  </si>
  <si>
    <t>Sơn bán bóng cao cấp trong nhà K5500 (20kg)</t>
  </si>
  <si>
    <t>Sơn trắng trần trong nhà K10 (20kg)</t>
  </si>
  <si>
    <t>Sơn lót kháng kiềm ngoài nhà K209 (20kg)</t>
  </si>
  <si>
    <t>Sơn  không bóng ngoài trời K261 (20kg)</t>
  </si>
  <si>
    <t>Sơn không bóng cao cấp ngoài trời K5501 (20kg)</t>
  </si>
  <si>
    <t>Sơn chống thấm ngoài trời CT04 (20kg)</t>
  </si>
  <si>
    <t>Bột bả trong nhà (25kg)</t>
  </si>
  <si>
    <t>Bột bả ngoài trời (25kg)</t>
  </si>
  <si>
    <t>Chất chống thấm xi măng bê tông CT-11A (20kg)</t>
  </si>
  <si>
    <t>X</t>
  </si>
  <si>
    <t>Sơn Nice Space</t>
  </si>
  <si>
    <t>Sơn nội thất HT18 (23kg)</t>
  </si>
  <si>
    <t>Sơn nội thất cao cấp HT06 (22kg)</t>
  </si>
  <si>
    <t>Sơn nội thất siêu trắng trần HT05 (23kg)</t>
  </si>
  <si>
    <t>Sơn lót kháng kiềm nội thất (21kg)</t>
  </si>
  <si>
    <t>Sơn ngoại thất HT19 (22kg)</t>
  </si>
  <si>
    <t>Sơn ngoại thất cao cấp HT10 (22kg)</t>
  </si>
  <si>
    <t>Sơn lót kháng kiềm ngoại thất (21kg)</t>
  </si>
  <si>
    <t>Sơn Rman</t>
  </si>
  <si>
    <t>Sơn nội thất R80 (23kg)</t>
  </si>
  <si>
    <t>Sơn nội thất cao cấp R81 (22kg)</t>
  </si>
  <si>
    <t>Sơn nội thất siêu trắng trần R89 (23kg)</t>
  </si>
  <si>
    <t>Sơn lót kháng kiềm nội thất R90 (21kg)</t>
  </si>
  <si>
    <t>Sơn ngoại thất R84 (22kg)</t>
  </si>
  <si>
    <t>Sơn ngoại thất cao cấp R85 (22kg)</t>
  </si>
  <si>
    <t>Sơn lót kháng kiềm ngoại thất R91 (21kg)</t>
  </si>
  <si>
    <t>XI</t>
  </si>
  <si>
    <t>XII</t>
  </si>
  <si>
    <t>Sơn nội thất Garnet (18L)</t>
  </si>
  <si>
    <t>Sơn nội thất Amet (18L)</t>
  </si>
  <si>
    <t>Sơn ngoại thất Amet (18L)</t>
  </si>
  <si>
    <t>Sơn lót kiềm ngoại thất Sealer (18L)</t>
  </si>
  <si>
    <t>Sơn lót kiềm nội thất PIN (18L)</t>
  </si>
  <si>
    <t>Bột bả nội, ngoại thất cao cấp Topaz (40kg)</t>
  </si>
  <si>
    <t>XIII</t>
  </si>
  <si>
    <t>Sơn nội thất kinh tế, độ phủ cao, chống rêu mốc (23kg)</t>
  </si>
  <si>
    <t>Sơn mịn nội thất cao cấp, mặt sơn nhẵn mịn, chống rêu mốc (23kg)</t>
  </si>
  <si>
    <t>Sơn siêu trắng trần (23kg)</t>
  </si>
  <si>
    <t>Sơn mịn ngoại thất cao cấp, độ phủ cao, chống rêu mốc, chống thấm (20kg)</t>
  </si>
  <si>
    <t>Sơn lót kháng kiềm nội thất kinh tế (23kg)</t>
  </si>
  <si>
    <t>Sơn chống thấm đa năng chống thấm, chống rêu mốc (20kg)</t>
  </si>
  <si>
    <t>Sơn lót kháng kiềm nội thất KTKT-123 (23kg)</t>
  </si>
  <si>
    <t>Sơn mịn nội thất TT-125 (24kg)</t>
  </si>
  <si>
    <t>Sơn siêu trắng nội thất TST-127 (23kg)</t>
  </si>
  <si>
    <t>Sơn lót kháng kiềm ngoại thất TKN-222 (23kg)</t>
  </si>
  <si>
    <t>Sơn mịn ngoại thất TT-125 (23kg)</t>
  </si>
  <si>
    <t>Sơn lau chùi hiệu quả ngoại thất TN-225 (20,5kg)</t>
  </si>
  <si>
    <t>Sơn chống thấm hệ xi măng cao cấp CT-22A (19,5kg)</t>
  </si>
  <si>
    <t>Sơn nội thất che phủ hiệu quả Nano 1* (23kg)</t>
  </si>
  <si>
    <t>Sơn nội thất siêu trắng mịn Nano 2* (23kg)</t>
  </si>
  <si>
    <t>Sơn ngoại thất siêu mịn Titan 3* (21kg)</t>
  </si>
  <si>
    <t>Sơn lót kháng kiềm nội thất cao cấp Pro (21kg)</t>
  </si>
  <si>
    <t>Sơn lót kháng kiềm ngoại thất cao cấp Super Pro (19,8kg)</t>
  </si>
  <si>
    <t>Sơn chống thấm xi măng cao cấp Super Shield (20kg)</t>
  </si>
  <si>
    <t>Bột bả nội thất cao cấp (25kg)</t>
  </si>
  <si>
    <t>Bột bả ngoại thất cao cấp (25kg)</t>
  </si>
  <si>
    <t>Sơn lót kháng kiềm nội thất GP2.NO1 (18L)</t>
  </si>
  <si>
    <t>Sơn lót kháng kiềm nội thất cao cấp GP2.NO2 (18L)</t>
  </si>
  <si>
    <t>Sơn lót kháng kiềm ngoại thất GP2.NG1 (18L)</t>
  </si>
  <si>
    <t>Sơn lót kháng kiềm ngoại thất cao cấp GP2.NG2 (18L)</t>
  </si>
  <si>
    <t>Sơn phủ nội thất kinh tế GP3.KT (18L)</t>
  </si>
  <si>
    <t>Sơn phủ nội thất mờ mịn GP3.NO (18L)</t>
  </si>
  <si>
    <t>Sơn phủ nội thất siêu trắng trần GP4.STT (18L)</t>
  </si>
  <si>
    <t>Sơn phủ ngoại thất kinh tế GP5.NG.KT (18L)</t>
  </si>
  <si>
    <t>Sơn phủ ngoại thất mịn GP5.NG1 (18L)</t>
  </si>
  <si>
    <t>Sơn chống thấm xi măng GP6.CT (18L)</t>
  </si>
  <si>
    <t>Sơn chống thấm màu GP6.CTM (18L)</t>
  </si>
  <si>
    <t>Sơn chống thấm sàn GP6.CTS (18L)</t>
  </si>
  <si>
    <t>Sơn Thái Lan - Sơn thần tượng</t>
  </si>
  <si>
    <t>Sơn Spec</t>
  </si>
  <si>
    <t>Sơn Terraco</t>
  </si>
  <si>
    <t>Sơn Kova</t>
  </si>
  <si>
    <t>Sơn Alkaza</t>
  </si>
  <si>
    <t>Sơn Ichi</t>
  </si>
  <si>
    <t>Sơn Hika</t>
  </si>
  <si>
    <t>Sơn Navy</t>
  </si>
  <si>
    <t>Sơn Goopa</t>
  </si>
  <si>
    <t>Sản phẩm Tôn xốp Đại Long - sản xuất theo công nghệ Đài Loan Tôn xốp giấy bạc, chiều dày lớp xốp 16/32mm, tôn cán 11 sóng  khổ 1,07m, hiệu dụng 1m; 1mdài = 1,07m2</t>
  </si>
  <si>
    <t>0,40mm x 1070mm</t>
  </si>
  <si>
    <t>md</t>
  </si>
  <si>
    <t xml:space="preserve">0,45mm x 1070mm </t>
  </si>
  <si>
    <t>0,50mm x 1070mm</t>
  </si>
  <si>
    <t>0,45mm x 1070mm</t>
  </si>
  <si>
    <t>0,30mm x 1070mm</t>
  </si>
  <si>
    <t>0,35mm x 1070mm</t>
  </si>
  <si>
    <t>0,42mm x 1070mm</t>
  </si>
  <si>
    <t>Sản phẩm tôn: Tôn cán 9 sóng, 11 sóng  khổ 1.07m, hiệu dụng 1m. 1mdài = 1.07m2</t>
  </si>
  <si>
    <t>0,25mm x 1070mm</t>
  </si>
  <si>
    <t>Tôn Lạnh trắng Phương Nam AZ100</t>
  </si>
  <si>
    <t>TÔN CÁC LOẠI</t>
  </si>
  <si>
    <t>Tôn Bluescope Zacs Hoa Cương Công nghệ Inok AZ100</t>
  </si>
  <si>
    <t>Tôn Thăng Long – Việt Ý ( màu xanh rêu, đỏ đậm, socola, kem trứng...)</t>
  </si>
  <si>
    <t>Tôn Việt Nhật Trung Quốc ( màu xanh rêu, đỏ đậm)</t>
  </si>
  <si>
    <t>Công ty TNHH MTV Nhựa Bình Minh miền Bắc</t>
  </si>
  <si>
    <t>Ống uPVC</t>
  </si>
  <si>
    <t>DN 21 x 1,0 - PN 8 - Thoát</t>
  </si>
  <si>
    <t>DN 21 x 1,6 - PN 16 - C2</t>
  </si>
  <si>
    <t>DN 27 x 1,0 PN 6 - Thoát</t>
  </si>
  <si>
    <t>DN 27 x 1,6 PN 12,5 - C1</t>
  </si>
  <si>
    <t>DN 27 x 2,0 PN 16 - C2</t>
  </si>
  <si>
    <t>DN 34 x 1,0 - PN 6 - Thoát</t>
  </si>
  <si>
    <t>DN 34 x 1,7 - PN 10 - C1</t>
  </si>
  <si>
    <t>DN 34 x 2,0 - PN 12,5 - C2</t>
  </si>
  <si>
    <t>DN 42 x 1,2 - PN 5 - Thoát</t>
  </si>
  <si>
    <t>DN 42 x 1,7 - PN 8 - C1</t>
  </si>
  <si>
    <t>DN 42 x 2,0 - PN 10 - C2</t>
  </si>
  <si>
    <t>DN 48 x 1,4 - PN 5 - Thoát</t>
  </si>
  <si>
    <t>DN 48 x 1,9 - PN8 - C1</t>
  </si>
  <si>
    <t>DN 48 x 2,3 - PN10 - C2</t>
  </si>
  <si>
    <t>DN 60 x 1,4 - PN5 - Thoát</t>
  </si>
  <si>
    <t>DN 60 x 1,9 - PN6 - C1</t>
  </si>
  <si>
    <t>DN 60 x 2,3 - PN8 - C2</t>
  </si>
  <si>
    <t>DN 75 x 1,5 - PN 4 - Thoát</t>
  </si>
  <si>
    <t>DN 75 x 1,9 - PN5 - C0</t>
  </si>
  <si>
    <t>DN 75 x 2,3 - PN 6 - C1</t>
  </si>
  <si>
    <t>DN 75 x 2,9 - PN 8 - C2</t>
  </si>
  <si>
    <t>DN 75 x 3,6 - PN 10 - C3</t>
  </si>
  <si>
    <t>DN 90 x 1,5 - PN 3 - Thoát</t>
  </si>
  <si>
    <t>DN 90 x 1,8 - PN 4 - C0</t>
  </si>
  <si>
    <t>DN 90 x 2,2 - PN 5 - C1</t>
  </si>
  <si>
    <t>DN 90 x 2,7 - PN 6 - C2</t>
  </si>
  <si>
    <t>DN 90 x 3,5 - PN 8 - C3</t>
  </si>
  <si>
    <t>DN 110 x 1,8 - PN4 - Thoát</t>
  </si>
  <si>
    <t>DN 110 x 2,2 - PN5 - C0</t>
  </si>
  <si>
    <t>DN 110 x 2,7 - PN 6 - C1</t>
  </si>
  <si>
    <t>DN 110 x 3,4 - PN 8 - C2</t>
  </si>
  <si>
    <t>DN 110 x 4,2 - PN 10 - C3</t>
  </si>
  <si>
    <t>DN 125 x 3,0 - PN 6 - 1</t>
  </si>
  <si>
    <t>DN 125 x 3,9 - PN 8 C2</t>
  </si>
  <si>
    <t>DN 125 x 4,8 - PN 10 - C3</t>
  </si>
  <si>
    <t>DN 140 x 3,3 - PN 6 - C1</t>
  </si>
  <si>
    <t>DN 140 x 4,3 - PN 8 - C2</t>
  </si>
  <si>
    <t>DN 140 x 5,4 - PN 10 - C3</t>
  </si>
  <si>
    <t>DN 160 x 3,8 - PN 6 - C1</t>
  </si>
  <si>
    <t>DN 160 x 4,9 - PN 8 - C2</t>
  </si>
  <si>
    <t>DN 160 x 6,2 - PN 10 - C3</t>
  </si>
  <si>
    <t>DN 180 x 5,5 - PN 8 - C2</t>
  </si>
  <si>
    <t>DN 180 x 6,9 - PN 10 - C3</t>
  </si>
  <si>
    <t>Ống PPR</t>
  </si>
  <si>
    <t xml:space="preserve">DN 20x1.9 PN 10 </t>
  </si>
  <si>
    <t xml:space="preserve">DN 20x3.4 PN 20 </t>
  </si>
  <si>
    <t xml:space="preserve">DN 25x2.3 PN 10 </t>
  </si>
  <si>
    <t xml:space="preserve">DN 25x4.2 PN 20 </t>
  </si>
  <si>
    <t xml:space="preserve">DN 32x2.9 PN 10 </t>
  </si>
  <si>
    <t xml:space="preserve">DN 32x5.4 PN 20 </t>
  </si>
  <si>
    <t xml:space="preserve">DN 40x3.7 PN 10 </t>
  </si>
  <si>
    <t xml:space="preserve">DN 40x6.7 PN 20 </t>
  </si>
  <si>
    <t xml:space="preserve">DN 50x4.6 PN 10 </t>
  </si>
  <si>
    <t xml:space="preserve">DN 50x8.3 PN 20  </t>
  </si>
  <si>
    <t xml:space="preserve">DN 63x5.8 PN 10 </t>
  </si>
  <si>
    <t xml:space="preserve">DN 63x10.5 PN 20 </t>
  </si>
  <si>
    <t xml:space="preserve">DN 75x6.8 PN 10 </t>
  </si>
  <si>
    <t xml:space="preserve">DN 75x12.5 PN 20 </t>
  </si>
  <si>
    <t xml:space="preserve">DN 90x8.2 PN 10 </t>
  </si>
  <si>
    <t xml:space="preserve">DN 90x15.0 PN 20 </t>
  </si>
  <si>
    <t xml:space="preserve">DN 110x10.0 PN 10 </t>
  </si>
  <si>
    <t xml:space="preserve">DN 110x18.3 PN 20 </t>
  </si>
  <si>
    <t xml:space="preserve">DN 160x14.6 PN 10 </t>
  </si>
  <si>
    <t xml:space="preserve">DN 160x26.6 PN 20 </t>
  </si>
  <si>
    <t>Ống thoát uPVC D21</t>
  </si>
  <si>
    <t>Ống thoát uPVC D27</t>
  </si>
  <si>
    <t>Ống thoát uPVC D34</t>
  </si>
  <si>
    <t>Ống thoát uPVC D42</t>
  </si>
  <si>
    <t>Ống thoát uPVC D48</t>
  </si>
  <si>
    <t>Ống thoát uPVC D60</t>
  </si>
  <si>
    <t>Ống thoát uPVC D75</t>
  </si>
  <si>
    <t>Ống thoát uPVC D90</t>
  </si>
  <si>
    <t>Ống thoát uPVC D110</t>
  </si>
  <si>
    <t>Ống thoát uPVC D125</t>
  </si>
  <si>
    <t>Ống uPVC C0 D21</t>
  </si>
  <si>
    <t>Ống uPVC C0 D27</t>
  </si>
  <si>
    <t>Ống uPVC C0 D34</t>
  </si>
  <si>
    <t>Ống uPVC C0 D42</t>
  </si>
  <si>
    <t>Ống uPVC C0 D48</t>
  </si>
  <si>
    <t>Ống uPVC C0 D60</t>
  </si>
  <si>
    <t>Ống uPVC C0 D75</t>
  </si>
  <si>
    <t>Ống uPVC C0 D90</t>
  </si>
  <si>
    <t>Ống uPVC C0 D110</t>
  </si>
  <si>
    <t>Ống uPVC C0 D125</t>
  </si>
  <si>
    <t>Ống uPVC C1 D21</t>
  </si>
  <si>
    <t>Ống uPVC C1 D27</t>
  </si>
  <si>
    <t>Ống uPVC C1 D34</t>
  </si>
  <si>
    <t>Ống uPVC C1 D42</t>
  </si>
  <si>
    <t>Ống uPVC C1 D48</t>
  </si>
  <si>
    <t>Ống uPVC C1 D60</t>
  </si>
  <si>
    <t>Ống uPVC C1 D75</t>
  </si>
  <si>
    <t>Ống uPVC C1 D90</t>
  </si>
  <si>
    <t>Ống uPVC C1 D110</t>
  </si>
  <si>
    <t>Ống uPVC C1 D125</t>
  </si>
  <si>
    <t>Ống uPVC C2 D21</t>
  </si>
  <si>
    <t>Ống uPVC C2 D27</t>
  </si>
  <si>
    <t>Ống uPVC C2 D34</t>
  </si>
  <si>
    <t>Ống uPVC C2 D42</t>
  </si>
  <si>
    <t>Ống uPVC C2 D48</t>
  </si>
  <si>
    <t>Ống uPVC C2 D60</t>
  </si>
  <si>
    <t>Ống uPVC C2 D75</t>
  </si>
  <si>
    <t>Ống uPVC C2 D90</t>
  </si>
  <si>
    <t>Ống uPVC C2 D110</t>
  </si>
  <si>
    <t>Ống uPVC C2 D125</t>
  </si>
  <si>
    <t xml:space="preserve">Măng sông D42 PN12.5 -Phụ kiện uPVC </t>
  </si>
  <si>
    <t>Chiếc</t>
  </si>
  <si>
    <t xml:space="preserve">Măng sông D60 PN10 -Phụ kiện uPVC </t>
  </si>
  <si>
    <t xml:space="preserve">Măng sông D75 PN10 -Phụ kiện uPVC </t>
  </si>
  <si>
    <t xml:space="preserve">Măng sông D90 PN10 -Phụ kiện uPVC </t>
  </si>
  <si>
    <t xml:space="preserve">Măng sông D125 PN8 -Phụ kiện uPVC </t>
  </si>
  <si>
    <t xml:space="preserve">Cút đều 90 độ D48 PN10 -Phụ kiện uPVC </t>
  </si>
  <si>
    <t xml:space="preserve">Cút đều 90 độ D60 PN8 -Phụ kiện uPVC </t>
  </si>
  <si>
    <t xml:space="preserve">Cút đều 90 độ D90 PN8 -Phụ kiện uPVC </t>
  </si>
  <si>
    <t xml:space="preserve">Cút đều 90 độ D110 PN8 -Phụ kiện uPVC </t>
  </si>
  <si>
    <t xml:space="preserve">Tê đều D34 PN10 -Phụ kiện uPVC </t>
  </si>
  <si>
    <t xml:space="preserve">Tê đều D48 PN10 -Phụ kiện uPVC </t>
  </si>
  <si>
    <t xml:space="preserve">Tê đều D60 PN8 -Phụ kiện uPVC </t>
  </si>
  <si>
    <t xml:space="preserve">Tê đều D75 PN8 -Phụ kiện uPVC </t>
  </si>
  <si>
    <t xml:space="preserve">Tê đều D90 PN8 -Phụ kiện uPVC </t>
  </si>
  <si>
    <t xml:space="preserve">Tê đều D110 PN8 -Phụ kiện uPVC </t>
  </si>
  <si>
    <t xml:space="preserve">Y đều D48 PN12,5 -Phụ kiện uPVC </t>
  </si>
  <si>
    <t xml:space="preserve">Y đều D60 PN10 -Phụ kiện uPVC </t>
  </si>
  <si>
    <t xml:space="preserve">Y đều D75 PN8 -Phụ kiện uPVC </t>
  </si>
  <si>
    <t xml:space="preserve">Y đều D90 PN10 -Phụ kiện uPVC </t>
  </si>
  <si>
    <t xml:space="preserve">Y đều D110 PN8 -Phụ kiện uPVC </t>
  </si>
  <si>
    <t>Ống nhựa HDPE D50 PN6</t>
  </si>
  <si>
    <t>Ống nhựa HDPE D63 PN6</t>
  </si>
  <si>
    <t>Ống nhựa HDPE D75 PN6</t>
  </si>
  <si>
    <t>Ống nhựa HDPE D90 PN6</t>
  </si>
  <si>
    <t>Ống nhựa HDPE D110 PN6</t>
  </si>
  <si>
    <t>Ống nhựa HDPE D32 PN10</t>
  </si>
  <si>
    <t>Ống nhựa HDPE D40 PN10</t>
  </si>
  <si>
    <t>Ống nhựa HDPE D50 PN10</t>
  </si>
  <si>
    <t>Ống nhựa HDPE D63 PN10</t>
  </si>
  <si>
    <t>Ống nhựa HDPE D75 PN10</t>
  </si>
  <si>
    <t>Ống nhựa HDPE D90 PN10</t>
  </si>
  <si>
    <t>Ống nhựa HDPE D110 PN10</t>
  </si>
  <si>
    <t>Ống nhựa HDPE D20 PN16</t>
  </si>
  <si>
    <t>Ống nhựa HDPE D25 PN16</t>
  </si>
  <si>
    <t>Ống nhựa HDPE D32 PN16</t>
  </si>
  <si>
    <t>Ống nhựa HDPE D40 PN16</t>
  </si>
  <si>
    <t>Ống nhựa HDPE D50 PN16</t>
  </si>
  <si>
    <t>Ống nhựa HDPE D63 PN16</t>
  </si>
  <si>
    <t>Ống nhựa HDPE D75 PN16</t>
  </si>
  <si>
    <t>Ống nhựa HDPE D90 PN16</t>
  </si>
  <si>
    <t>Ống nhựa HDPE D110 PN16</t>
  </si>
  <si>
    <t>Khâu nối thẳng D20 -phụ kiện HDPE ren</t>
  </si>
  <si>
    <t>Khâu nối thẳng D25 -phụ kiện HDPE ren</t>
  </si>
  <si>
    <t>Khâu nối thẳng D32 -phụ kiện HDPE ren</t>
  </si>
  <si>
    <t>Khâu nối thẳng D40 -phụ kiện HDPE ren</t>
  </si>
  <si>
    <t>Tê đều D20 -phụ kiện HDPE ren</t>
  </si>
  <si>
    <t>Tê đều D25 -phụ kiện HDPE ren</t>
  </si>
  <si>
    <t>Tê đều D32 -phụ kiện HDPE ren</t>
  </si>
  <si>
    <t>Tê đều D40 -phụ kiện HDPE ren</t>
  </si>
  <si>
    <t>Cút đều 90 độ D20 -phụ kiện HDPE ren</t>
  </si>
  <si>
    <t>Cút đều 90 độ D25 -phụ kiện HDPE ren</t>
  </si>
  <si>
    <t>Cút đều 90 độ D32 -phụ kiện HDPE ren</t>
  </si>
  <si>
    <t>Cút đều 90 độ D40 -phụ kiện HDPE ren</t>
  </si>
  <si>
    <t xml:space="preserve"> D20 x 2,3mm -Ống PPR PN10</t>
  </si>
  <si>
    <t xml:space="preserve"> D25 x 2,8mm -Ống PPR PN10</t>
  </si>
  <si>
    <t xml:space="preserve"> D32 x 2,9mm -Ống PPR PN10</t>
  </si>
  <si>
    <t xml:space="preserve"> D40 x 3,7mm -Ống PPR PN10</t>
  </si>
  <si>
    <t xml:space="preserve"> D50 x 4,6mm -Ống PPR PN10</t>
  </si>
  <si>
    <t xml:space="preserve"> D20 x 2,8mm -Ống PPR PN16</t>
  </si>
  <si>
    <t xml:space="preserve"> D25 x 3,5mm -Ống PPR PN16</t>
  </si>
  <si>
    <t xml:space="preserve"> D32 x 4,4mm-Ống PPR PN16 </t>
  </si>
  <si>
    <t xml:space="preserve"> D40 x 5,5mm -Ống PPR PN16</t>
  </si>
  <si>
    <t xml:space="preserve"> D50 x 6,9mm -Ống PPR PN16</t>
  </si>
  <si>
    <t xml:space="preserve"> D20 x 3,4mm -Ống PPR PN20</t>
  </si>
  <si>
    <t xml:space="preserve"> D25 x 4,2mm -Ống PPR PN20</t>
  </si>
  <si>
    <t xml:space="preserve"> D32 x 5,4mm -Ống PPR PN20</t>
  </si>
  <si>
    <t xml:space="preserve"> D40 x 6,7mm -Ống PPR PN20</t>
  </si>
  <si>
    <t xml:space="preserve"> D50 x 8,3mm -Ống PPR PN20</t>
  </si>
  <si>
    <t xml:space="preserve"> D20 -Ống tránh</t>
  </si>
  <si>
    <t xml:space="preserve"> D25 -Ống tránh</t>
  </si>
  <si>
    <t xml:space="preserve"> D20 -Cút 90º</t>
  </si>
  <si>
    <t xml:space="preserve"> D25 -Cút 90º</t>
  </si>
  <si>
    <t xml:space="preserve"> D32-Cút 90º </t>
  </si>
  <si>
    <t xml:space="preserve"> D40 -Cút 90º</t>
  </si>
  <si>
    <t xml:space="preserve"> D50 -Cút 90º</t>
  </si>
  <si>
    <t xml:space="preserve"> D40 -Măng sông</t>
  </si>
  <si>
    <t xml:space="preserve"> D50 -Măng sông</t>
  </si>
  <si>
    <t>D50</t>
  </si>
  <si>
    <t>Cái</t>
  </si>
  <si>
    <t>D65</t>
  </si>
  <si>
    <t>D80</t>
  </si>
  <si>
    <t>D100</t>
  </si>
  <si>
    <t>D125</t>
  </si>
  <si>
    <t>D150</t>
  </si>
  <si>
    <t>Bộ</t>
  </si>
  <si>
    <t>D25</t>
  </si>
  <si>
    <t>DN 15</t>
  </si>
  <si>
    <t>DN20</t>
  </si>
  <si>
    <t>DN25</t>
  </si>
  <si>
    <t>DN32</t>
  </si>
  <si>
    <t>DN40</t>
  </si>
  <si>
    <t>DN50</t>
  </si>
  <si>
    <t>DN65</t>
  </si>
  <si>
    <t>DN80</t>
  </si>
  <si>
    <t>DN100</t>
  </si>
  <si>
    <t xml:space="preserve">DN20 </t>
  </si>
  <si>
    <t>DN15</t>
  </si>
  <si>
    <t>D15</t>
  </si>
  <si>
    <t>D20</t>
  </si>
  <si>
    <t>DN15 (1190-210)</t>
  </si>
  <si>
    <t>DN15 (1070-220)</t>
  </si>
  <si>
    <t>DN15 (1671-250)</t>
  </si>
  <si>
    <t>DN20 (1070-220)</t>
  </si>
  <si>
    <t xml:space="preserve">Cái </t>
  </si>
  <si>
    <t>DN150</t>
  </si>
  <si>
    <t>DN200</t>
  </si>
  <si>
    <t>TN125 DN100, cao 1.5m</t>
  </si>
  <si>
    <t>Trụ cứu hỏa 3 họng Bộ Quốc Phòng</t>
  </si>
  <si>
    <t>Cút DN15</t>
  </si>
  <si>
    <t>Cút DN20</t>
  </si>
  <si>
    <t>Cút DN25</t>
  </si>
  <si>
    <t>Cút DN32</t>
  </si>
  <si>
    <t>Cút DN40</t>
  </si>
  <si>
    <t>Cút DN50</t>
  </si>
  <si>
    <t>Cút DN65</t>
  </si>
  <si>
    <t>Cút DN80</t>
  </si>
  <si>
    <t>Cút DN100</t>
  </si>
  <si>
    <t>Côn DN20</t>
  </si>
  <si>
    <t>Côn DN25</t>
  </si>
  <si>
    <t>Côn DN32</t>
  </si>
  <si>
    <t>Côn DN40</t>
  </si>
  <si>
    <t>Côn DN50</t>
  </si>
  <si>
    <t>Côn DN65</t>
  </si>
  <si>
    <t>Côn DN80</t>
  </si>
  <si>
    <t>Côn DN100</t>
  </si>
  <si>
    <t>Kép DN15</t>
  </si>
  <si>
    <t>Kép DN20</t>
  </si>
  <si>
    <t>Kép DN25</t>
  </si>
  <si>
    <t>Kép DN32</t>
  </si>
  <si>
    <t>Kép DN40</t>
  </si>
  <si>
    <t>Kép DN50</t>
  </si>
  <si>
    <t>Kép DN65</t>
  </si>
  <si>
    <t>Kép DN80</t>
  </si>
  <si>
    <t>Kép DN100</t>
  </si>
  <si>
    <t>Măng sông DN15</t>
  </si>
  <si>
    <t>Măng sông DN20</t>
  </si>
  <si>
    <t>Măng sông DN25</t>
  </si>
  <si>
    <t>Măng sông DN32</t>
  </si>
  <si>
    <t>Măng sông DN40</t>
  </si>
  <si>
    <t>Măng sông DN50</t>
  </si>
  <si>
    <t>Măng sông DN65</t>
  </si>
  <si>
    <t>Măng sông DN80</t>
  </si>
  <si>
    <t>Măng sông DN100</t>
  </si>
  <si>
    <t>Lơ thu DN15</t>
  </si>
  <si>
    <t>Lơ thu DN20</t>
  </si>
  <si>
    <t>Lơ thu DN25</t>
  </si>
  <si>
    <t>Lơ thu DN32</t>
  </si>
  <si>
    <t>Lơ thu DN40</t>
  </si>
  <si>
    <t>Lơ thu DN50</t>
  </si>
  <si>
    <t>Lơ thu DN65</t>
  </si>
  <si>
    <t>Lơ thu DN80</t>
  </si>
  <si>
    <t>Lơ thu DN100</t>
  </si>
  <si>
    <t>Rắc co DN15</t>
  </si>
  <si>
    <t>Rắc co DN20</t>
  </si>
  <si>
    <t>Rắc co DN25</t>
  </si>
  <si>
    <t>Rắc co DN32</t>
  </si>
  <si>
    <t>Rắc co DN40</t>
  </si>
  <si>
    <t>Rắc co DN50</t>
  </si>
  <si>
    <t>Rắc co DN65</t>
  </si>
  <si>
    <t>Rắc co DN80</t>
  </si>
  <si>
    <t>Rắc co DN100</t>
  </si>
  <si>
    <t>Tê đều DN15</t>
  </si>
  <si>
    <t>Tê đều DN20</t>
  </si>
  <si>
    <t>Tê đều DN25</t>
  </si>
  <si>
    <t>Tê đều DN32</t>
  </si>
  <si>
    <t>Tê đều DN40</t>
  </si>
  <si>
    <t>Tê đều DN50</t>
  </si>
  <si>
    <t>Tê đều DN65</t>
  </si>
  <si>
    <t>Tê đều DN80</t>
  </si>
  <si>
    <t>Tê đều DN100</t>
  </si>
  <si>
    <t>Thập DN15</t>
  </si>
  <si>
    <t>Thập DN20</t>
  </si>
  <si>
    <t>Thập DN25</t>
  </si>
  <si>
    <t>Thập DN32</t>
  </si>
  <si>
    <t>Thập DN40</t>
  </si>
  <si>
    <t>Thập DN50</t>
  </si>
  <si>
    <t>Thập DN65</t>
  </si>
  <si>
    <t>Thập DN80</t>
  </si>
  <si>
    <t>Ống xoán HDPE D85/65</t>
  </si>
  <si>
    <t>Ống xoán HDPE D105/80</t>
  </si>
  <si>
    <t>Ống xoán HDPE D30/100</t>
  </si>
  <si>
    <t>Đế ấm chữ nhật chống cháy</t>
  </si>
  <si>
    <t>Tủ điện chứa 2-4 module</t>
  </si>
  <si>
    <t>Tủ điện chứa 5-8 module</t>
  </si>
  <si>
    <t>Tủ điện chứa 9-12 module</t>
  </si>
  <si>
    <t>Mặt chứa hạt công tắc, TV, mạng</t>
  </si>
  <si>
    <t>Hạt công tắc 1 chiều</t>
  </si>
  <si>
    <t>Hạt công tắc 2 chiều</t>
  </si>
  <si>
    <t>Hạt TV</t>
  </si>
  <si>
    <t>Hạt điện thoại</t>
  </si>
  <si>
    <t>Hạt Internet</t>
  </si>
  <si>
    <t>Ổ cắm đơn 3 chấu 16A</t>
  </si>
  <si>
    <t>Ổ cắm đôi 3 chấu 16A</t>
  </si>
  <si>
    <t>MCB 1P 10, 16, 20, 25, 32, 40 (A), Icu=4,5kA</t>
  </si>
  <si>
    <t>MCB 2P 10, 16, 20, 25, 32, 40 (A), Icu=4,5kA</t>
  </si>
  <si>
    <t>MCB 2P 50, 63 (A), Icu=4,5kA</t>
  </si>
  <si>
    <t>MCB 3P 50, 63 (A), Icu=4,5kA</t>
  </si>
  <si>
    <t>MCCB 3P 40, 50, 63 (A), Icu=18kA</t>
  </si>
  <si>
    <t>MCCB 3P 75, 100 (A), Icu=22kA</t>
  </si>
  <si>
    <t>MCCB 150, 200 (A), Icu=30kA</t>
  </si>
  <si>
    <t>Gắn trần 5,5m3/min</t>
  </si>
  <si>
    <t>Gắn trần 12,5m3/min</t>
  </si>
  <si>
    <t>Gắn tường 9,5m3/min</t>
  </si>
  <si>
    <t>Gắn tường 14,5m3/min</t>
  </si>
  <si>
    <t>Gắn tường 18,5m3/min</t>
  </si>
  <si>
    <t>Cáp điện thoại 2P chống ẩm</t>
  </si>
  <si>
    <t>Cáp Internet CAT5 (5UTP)</t>
  </si>
  <si>
    <t>Cáp Internet CAT6 (6UTP)</t>
  </si>
  <si>
    <t>Cáp tín hiệu CVV 2x0,75 mm2</t>
  </si>
  <si>
    <t>Cáp tín hiệu CVV 4x0,75 mm2</t>
  </si>
  <si>
    <t>Cáp tín hiệu màng kim loại 2x0,75mm2</t>
  </si>
  <si>
    <t>Cáp tín hiệu màng kim loại 4x0,75mm2</t>
  </si>
  <si>
    <t>Cột</t>
  </si>
  <si>
    <t>Công ty cổ phần khoa học công nghệ Việt Nam - Giá bao gồm chi phí vận chuyển và bốc dỡ lên xuống đến địa điểm tập trung theo yêu cầu bên mua trên địa bàn tỉnh Quảng Trị</t>
  </si>
  <si>
    <t>D300 âm dương 1 đầu loe, chiều dày thành ống 40mm</t>
  </si>
  <si>
    <t>D400 âm dương 1 đầu loe, chiều dày thành ống 45mm</t>
  </si>
  <si>
    <t>D500 âm dương 1 đầu loe, chiều dày thành ống 50mm</t>
  </si>
  <si>
    <t>D600 âm dương 1 đầu loe, chiều dày thành ống 60mm</t>
  </si>
  <si>
    <t>D750 một đầu âm, 1 đầu dương, chiều dày thành ống 80mm</t>
  </si>
  <si>
    <t>D800 âm dương 1 đầu loe, chiều dày thành ống 80mm</t>
  </si>
  <si>
    <t>D1000 một đầu âm, 1 đầu dương, chiều dày thành ống 100mm</t>
  </si>
  <si>
    <t>D1000 âm dương 1 đầu loe, chiều dày thành ống 100mm</t>
  </si>
  <si>
    <t>D1200 một đầu âm, 1 đầu dương, chiều dày thành ống 120mm</t>
  </si>
  <si>
    <t>D1250 một đầu âm, 1 đầu dương, chiều dày thành ống 120mm</t>
  </si>
  <si>
    <t>Ống cống BTCT M300, chiều dài L=2m, cấp T, tải trọng VH, chiều cao đắp trên cống H=0,5 đến 4m</t>
  </si>
  <si>
    <t>Ống cống BTCT M300, chiều dài L=2m, cấp C, tải trọng HL93, chiều cao đắp trên cống H= 4 đến 8m</t>
  </si>
  <si>
    <t>Ống cống BTCT M300, chiều dài L=2m, cấp TC, tải trọng HL93, chiều cao đắp trên cống H=0,5 đến 4m</t>
  </si>
  <si>
    <t>Công ty cổ phần bê tông Vân Phong - Địa chỉ: Số 36 Lê Thánh Tông, Phường 5, thành phố Đông Hà</t>
  </si>
  <si>
    <t>IX</t>
  </si>
  <si>
    <t>SƠN CÁC LOẠI</t>
  </si>
  <si>
    <t>Lon</t>
  </si>
  <si>
    <t>Thùng</t>
  </si>
  <si>
    <t>Bao</t>
  </si>
  <si>
    <t>Sơn kinh tế Vinason</t>
  </si>
  <si>
    <t>Sơn lót kháng kiềm ngoại thất (22kg)</t>
  </si>
  <si>
    <t>Bột trét tường nội thất (40kg)</t>
  </si>
  <si>
    <t>Bột trét tường ngoại thất (40kg)</t>
  </si>
  <si>
    <t>Sơn siêu bóng nội thất, bảo vệ và trang trí đặc biệt (5l)</t>
  </si>
  <si>
    <t>Sơn siêu bóng nội thất cao cấp (18l)</t>
  </si>
  <si>
    <t>Sơn bóng nội thất cao cấp (18l)</t>
  </si>
  <si>
    <t>Sơn nội thất lau chùi hiệu quả (18l)</t>
  </si>
  <si>
    <t>Sơn nội thất cao cấp (18l)</t>
  </si>
  <si>
    <t>Sơn siêu trắng trần (18l)</t>
  </si>
  <si>
    <t>Sơn siêu bóng ngoại thất, bảo vệ tường đặc biệt (5l)</t>
  </si>
  <si>
    <t>Sơn siêu bóng ngoại thất cao cấp (18l)</t>
  </si>
  <si>
    <t>Sơn bóng ngoại thất cao cấp (18l)</t>
  </si>
  <si>
    <t>Sơn mịn ngoại thất cao cấp (18l)</t>
  </si>
  <si>
    <t>Sơn lót kháng kiềm ngoại thất (18l)</t>
  </si>
  <si>
    <t>Sơn lót kháng kiềm nội thất (18l)</t>
  </si>
  <si>
    <t>Sơn lót kháng kiềm nội thất Swhite (18l)</t>
  </si>
  <si>
    <t>Sơn lót trong nhà (18l)</t>
  </si>
  <si>
    <t>Sơn chống thấm đa năng (18l)</t>
  </si>
  <si>
    <t>Sơn chống thấm màu (18l)</t>
  </si>
  <si>
    <t>Sơn phủ bóng (18l)</t>
  </si>
  <si>
    <t>Sơn nội thất</t>
  </si>
  <si>
    <t>Spec Taket super wall for interior (17,5L)</t>
  </si>
  <si>
    <t>Spec Walli pure matt (17,5L)</t>
  </si>
  <si>
    <t>Spec Hello fast interior (18L)</t>
  </si>
  <si>
    <t>Spec Eko - láng mịn (18L)</t>
  </si>
  <si>
    <t>Sơn ngoại thất</t>
  </si>
  <si>
    <t>Spec Eko bảo vệ hoàn hảo (18L)</t>
  </si>
  <si>
    <t>Sơn lót</t>
  </si>
  <si>
    <t>Spec Eko primrt for exterior (18L)</t>
  </si>
  <si>
    <t>Spec Eko primrt for interior (18L)</t>
  </si>
  <si>
    <t>Chống thấm</t>
  </si>
  <si>
    <t>Spec taket extra water proof (18L)</t>
  </si>
  <si>
    <t>Spec super fixx (18L)</t>
  </si>
  <si>
    <t xml:space="preserve">Bột trét </t>
  </si>
  <si>
    <t>Spec wally putty for Int&amp;Ext (40kg)</t>
  </si>
  <si>
    <t>Bột bả nội thất (40kg)</t>
  </si>
  <si>
    <t>Bột bả ngoại thất (40kg)</t>
  </si>
  <si>
    <t>Sơn chống thấm cho vách, ban công, tường (20kg)</t>
  </si>
  <si>
    <t>Sơn chống thấm cao cấp (18L)</t>
  </si>
  <si>
    <t>Sơn bán bóng ngoại thất Vicoat (5L)</t>
  </si>
  <si>
    <t>Sơn mờ nội thất Terralast (18L)</t>
  </si>
  <si>
    <t>Sơn dùng cho nội thất Terramat (25kg)</t>
  </si>
  <si>
    <t>Sơn bóng mờ nội thất Terratop (18L)</t>
  </si>
  <si>
    <t>Sơn lót chống kiềm (20kg)</t>
  </si>
  <si>
    <t>Sơn dùng cho sân Tennis (20kg)</t>
  </si>
  <si>
    <t>THÉP HỘP, THÉP ỐNG, THÉP HÌNH MẠ KẼM</t>
  </si>
  <si>
    <t>Xà gồ C</t>
  </si>
  <si>
    <t>C80x37x10x1,8ly</t>
  </si>
  <si>
    <t>C80x40x10x1,8ly</t>
  </si>
  <si>
    <t>C80x40x10x2,0ly</t>
  </si>
  <si>
    <t>C100x45x12x1,8ly</t>
  </si>
  <si>
    <t>C100x50x20x1,8ly</t>
  </si>
  <si>
    <t>C100x45x12x2,0ly</t>
  </si>
  <si>
    <t>C100x50x20x2,0ly</t>
  </si>
  <si>
    <t>C120x45x10x1,8ly</t>
  </si>
  <si>
    <t>C120x50x20x1,8ly</t>
  </si>
  <si>
    <t>C120x45x10x2,0ly</t>
  </si>
  <si>
    <t>C120x50x20x2,0ly</t>
  </si>
  <si>
    <t>C150x46x13x1,8ly</t>
  </si>
  <si>
    <t>C150x50x17x1,8ly</t>
  </si>
  <si>
    <t>C150x50x20x1,8ly</t>
  </si>
  <si>
    <t>C150x46x13x2,0ly</t>
  </si>
  <si>
    <t>C150x47x17x2,0ly</t>
  </si>
  <si>
    <t>C150x50x20x2,0ly</t>
  </si>
  <si>
    <t>C150x46x12x2,5ly</t>
  </si>
  <si>
    <t>C180x47x15x2,0ly</t>
  </si>
  <si>
    <t>C180x65x20x2,0ly</t>
  </si>
  <si>
    <t>C200x50x20x2,0ly</t>
  </si>
  <si>
    <t>C200x65x20x2,0ly</t>
  </si>
  <si>
    <t>Xà gồ Z</t>
  </si>
  <si>
    <t>Z150x62x65x20x1,8ly</t>
  </si>
  <si>
    <t>Z150x62x65x20x2,0ly</t>
  </si>
  <si>
    <t>Z180x62x65x20x2,0ly</t>
  </si>
  <si>
    <t>Z200x62x68x20x2,0ly</t>
  </si>
  <si>
    <t>Z250x62x68x20x2,0ly</t>
  </si>
  <si>
    <t>Z300x62x68x20x2,0ly</t>
  </si>
  <si>
    <t>Z300x72x78x20x2,0ly</t>
  </si>
  <si>
    <t>Dày 2,5</t>
  </si>
  <si>
    <t>Dày 2</t>
  </si>
  <si>
    <t>Nhựa đường 60/70 - Phuy</t>
  </si>
  <si>
    <t>Nhựa đường 60/70 - Xá</t>
  </si>
  <si>
    <t>Nhựa nhũ tương CSS-1, CRS-1 - Xá</t>
  </si>
  <si>
    <t>Nhựa nhũ tương CSS-1, CRS-1 - Phuy</t>
  </si>
  <si>
    <t>Nhựa lỏng MC70 - Xá</t>
  </si>
  <si>
    <t>Nhựa lỏng MC70 - Phuy</t>
  </si>
  <si>
    <t>LM 79-08
EN60598-1:2015+A1:2018
EN 60598-2-3:2003/A1:2011
(EMC)
EN 55015 / EN 61000-3-2 / EN61000-3-3/ EN 61547
EN 61547 / EN 61000-4-2,-3,-4,-5,-6,-8,-11
Xuất xứ Schreder - Trung Quốc</t>
  </si>
  <si>
    <t>Cột đèn liền cần đơn mạ kẽm nhúng nóng</t>
  </si>
  <si>
    <t>Cột đèn bát giác, tròn côn liền cần đơn</t>
  </si>
  <si>
    <t>cột</t>
  </si>
  <si>
    <t>H=7m tôn dày 3mm; Dn=56mm; Dg=134mm</t>
  </si>
  <si>
    <t>H=7m tôn dày 3,5mm; Dn=56mm; Dg=134mm</t>
  </si>
  <si>
    <t>H=8m tôn dày 3mm; Dn=56mm; Dg=150mm</t>
  </si>
  <si>
    <t>H=8m tôn dày 3,5mm; Dn=56mm; Dg=150mm</t>
  </si>
  <si>
    <t>H=9m tôn dày 3,5mm; Dn=56mm; Dg=161mm</t>
  </si>
  <si>
    <t>H=10m tôn dày 4mm; Dn=56mm; Dg=172mm</t>
  </si>
  <si>
    <t>H=11m tôn dày 4mm; Dn=56mm; Dg=183mm</t>
  </si>
  <si>
    <t>Cột thép đầu nhọn D78 mạ kẽm nhúng nóng</t>
  </si>
  <si>
    <t>Cột thép bát giác tròn côn</t>
  </si>
  <si>
    <t>H=6m (D78-3mm), Dn=78mm, Dg=144mm</t>
  </si>
  <si>
    <t>H=8m (D78-3,5mm), Dn=78mm, Dg=165mm</t>
  </si>
  <si>
    <t>H=7m (D78-3mm), Dn=78mm, Dg=154mm</t>
  </si>
  <si>
    <t>H=8m (D78-4mm), Dn=78mm, Dg=165mm</t>
  </si>
  <si>
    <t>H=9m (D78-4mm), Dn=78mm, Dg=175mm</t>
  </si>
  <si>
    <t>H=10m (D78-4mm), Dn=78mm, Dg=186mm</t>
  </si>
  <si>
    <t>H=11m (D78-4mm), Dn=78mm, Dg=196mm</t>
  </si>
  <si>
    <t>Cần đèn mạ kẽm nhúng nóng</t>
  </si>
  <si>
    <t>CD-02 cao 2m vươn xa 1,5mx3mm</t>
  </si>
  <si>
    <t>bộ</t>
  </si>
  <si>
    <t>CD-08 cao 2m vươn xa 1,5mx3mm</t>
  </si>
  <si>
    <t>CD-10 cao 2m vươn xa 1,5mx3mm</t>
  </si>
  <si>
    <t>CD-15 cao 2m vươn xa 1,5mx3mm</t>
  </si>
  <si>
    <t>CD-22 cao 2m vươn xa 1,5mx3mm</t>
  </si>
  <si>
    <t>CD-27 cao 2m vươn xa 1,5mx3mm</t>
  </si>
  <si>
    <t>CD-29 cao 2m vươn xa 1,5mx3mm</t>
  </si>
  <si>
    <t>CD-32 cao 2m vươn xa 1,5mx3mm</t>
  </si>
  <si>
    <t>CD-44 cao 2m vươn xa 1,5mx3mm</t>
  </si>
  <si>
    <t>CK-01 cao 2m vươn xa 1,5mx3mm</t>
  </si>
  <si>
    <t>CK-02 cao 2m vươn xa 1,5mx3mm</t>
  </si>
  <si>
    <t>CK-04 cao 2m vươn xa 1,5mx3mm</t>
  </si>
  <si>
    <t>CK-11 cao 2m vươn xa 1,5mx3mm</t>
  </si>
  <si>
    <t>CK-12 cao 2m vươn xa 1,5mx3mm</t>
  </si>
  <si>
    <t>CK-13 cao 2m vươn xa 1,5mx3mm</t>
  </si>
  <si>
    <t>CK-14 cao 2m vươn xa 1,5mx3mm</t>
  </si>
  <si>
    <t>CK-15 cao 2m vươn xa 1,5mx3mm</t>
  </si>
  <si>
    <t>CK-21 cao 2m vươn xa 1,5mx3mm</t>
  </si>
  <si>
    <t>CK-23 cao 2m vươn xa 1,5mx3mm</t>
  </si>
  <si>
    <t>CK-26 cao 2m vươn xa 1,5mx3mm</t>
  </si>
  <si>
    <t>CK-28 cao 2m vươn xa 1,5mx3mm</t>
  </si>
  <si>
    <t>Lọng bán nguyệt</t>
  </si>
  <si>
    <t>Lọng 6-8 đèn pha</t>
  </si>
  <si>
    <t>Xà bắt 2 đèn pha</t>
  </si>
  <si>
    <t>Cột trang trí</t>
  </si>
  <si>
    <t>Đế</t>
  </si>
  <si>
    <t>Đế gang 05B + Thân nhôm D108</t>
  </si>
  <si>
    <t>Đế gang 06 + Thân nhôm D108</t>
  </si>
  <si>
    <t>Đế gang Banian + Thân nhôm D108</t>
  </si>
  <si>
    <t>Đế gang Pine + Thân nhôm D108</t>
  </si>
  <si>
    <t>Đế gang Nouvo + Thân nhôm D108</t>
  </si>
  <si>
    <t>Đế gang Bamboo + Thân nhôm D108</t>
  </si>
  <si>
    <t>Đế M16x260x260mm + Thân 3,2m</t>
  </si>
  <si>
    <t>Đế M16x340x340x500mm + Thân 3,2m</t>
  </si>
  <si>
    <t>Đế M16x240x240mm + Thân 3,2m</t>
  </si>
  <si>
    <t>Chùm cột trang trí sân vườn</t>
  </si>
  <si>
    <t>Chùm CH 02 - 4/5</t>
  </si>
  <si>
    <t>Chùm CH 11 - 4/5</t>
  </si>
  <si>
    <t>Chùm CH 06 - 4/5</t>
  </si>
  <si>
    <t>Chùm CH 08 - 4/5</t>
  </si>
  <si>
    <t>Chùm CH 09 - 1/2</t>
  </si>
  <si>
    <t>Chùm CH 12 - 4/5</t>
  </si>
  <si>
    <t>Chùm Arlequen - 3/4</t>
  </si>
  <si>
    <t>Chùm Ruby - 2</t>
  </si>
  <si>
    <t>Đèn trang trí sân vườn, không gồm bóng</t>
  </si>
  <si>
    <t>Cầu đục D300 + Led 7W</t>
  </si>
  <si>
    <t>Cầu đục D400 + Led 9W</t>
  </si>
  <si>
    <t>Cầu đục D400 + Led 12W</t>
  </si>
  <si>
    <t>Cầu trong D300 + Led 7W + Tháp son</t>
  </si>
  <si>
    <t>Cầu trong D400 + Led 9W + Tháp son</t>
  </si>
  <si>
    <t>Cầu trong D400 + Led 12W + Tháp son</t>
  </si>
  <si>
    <t>Cầu sọc D400 + Led 12W</t>
  </si>
  <si>
    <t>Cầu đục Lotus D400 + Led 12W</t>
  </si>
  <si>
    <t>Đèn cầu Eyes</t>
  </si>
  <si>
    <t>Đèn cầu Jupiter</t>
  </si>
  <si>
    <t>Đèn cầu Tulip</t>
  </si>
  <si>
    <t>Phụ kiện cột</t>
  </si>
  <si>
    <t>Giá đỡ tủ điện</t>
  </si>
  <si>
    <t>Cọc tiếp địa V63x63x6x2500 (mạ kẽm)</t>
  </si>
  <si>
    <t>Khung móng cột 05 M16x340x340x500mm</t>
  </si>
  <si>
    <t>Khung móng cột M16x240x240x525mm</t>
  </si>
  <si>
    <t>Khung móng cột M24x300x300x675mm</t>
  </si>
  <si>
    <t>Khung móng cột đa giác M24x1375x8mm</t>
  </si>
  <si>
    <t>Công ty cổ phần đầu tư và phát triển điện chiếu sáng MDC Tech - Giá tại chân công trình dọc theo QL 1A</t>
  </si>
  <si>
    <t>Công ty cổ phần Kapal - Giá bán tại cửa hàng: 131 đường Lý Thường Kiệt, thành phố Đông Hà, tỉnh Quảng Trị</t>
  </si>
  <si>
    <t>Cát bê tông</t>
  </si>
  <si>
    <t>Công ty TNHH MTV Lý Len - Giá bán tại bãi tập kết Phường An Đôn, thị xã Quảng Trị</t>
  </si>
  <si>
    <t>900x350x135</t>
  </si>
  <si>
    <t>450x350x135</t>
  </si>
  <si>
    <t>300x350x135</t>
  </si>
  <si>
    <t>Xi măng Pooc lăng hỗn hợp PCB40 Tân Thắng</t>
  </si>
  <si>
    <t>Cửa nhôm</t>
  </si>
  <si>
    <t>Cửa sổ mở quay hệ VF-XF 55 (nhãn hiệu Frandoor hoặc Vixingfa)</t>
  </si>
  <si>
    <t>Cửa sổ 1 cánh mở quay hoặc hất; Diện tích &gt;= 1,28m2</t>
  </si>
  <si>
    <t>Cửa sổ 1 cánh mở quay hoặc hất; Diện tích &lt;= 1,04m2</t>
  </si>
  <si>
    <t>Cửa sổ 2/4 cánh mở quay hoặc hất; Diện tích &gt;= 2,24m2</t>
  </si>
  <si>
    <t>Cửa sổ 2/4 cánh mở quay hoặc hất; Diện tích &lt;= 1,6m2</t>
  </si>
  <si>
    <t>Vách kính cố định; Diện tích &gt;=4,5m2</t>
  </si>
  <si>
    <t>Vách kính cố định; Diện tích &lt;=3,0m2</t>
  </si>
  <si>
    <t>Cửa sổ 2/4 cánh mở lùa; Diện tích &gt;= 2,24m2</t>
  </si>
  <si>
    <t>Cửa sổ 2/4 cánh mở lùa; Diện tích &lt;= 1,6m2</t>
  </si>
  <si>
    <t>Cửa sổ mở lùa hệ VF-XF 55 (nhãn hiệu Frandoor hoặc Vixingfa)</t>
  </si>
  <si>
    <t>Cửa đi mở lùa hệ VF-XF 93 (nhãn hiệu Frandoor hoặc Vixingfa)</t>
  </si>
  <si>
    <t>Cửa đi 2/4 cánh mở lùa; Diện tích &gt;= 7,2m2</t>
  </si>
  <si>
    <t>Cửa đi 2/4 cánh mở lùa; Diện tích &lt;= 3,84m2</t>
  </si>
  <si>
    <t>Độ dày thanh nhôm tiêu chuẩn từ 1,2-1,4mm; Kính an toàn dày 6.38mm hoặc kính cường lực dày 8mm; Phụ kiện đồng bộ 3H nhập khẩu: Ke góc, tay nắm cửa, thanh đa điểm, bản lề A mở quay, ….</t>
  </si>
  <si>
    <t>Độ dày thanh nhôm tiêu chuẩn từ 1,2-1,4mm; Kính an toàn dày 6.38mm hoặc kính cường lực dày 8mm; Phụ kiện đồng bộ 3H nhập khẩu: Ke góc, tay cài, bản lề A, ….</t>
  </si>
  <si>
    <t>Độ dày thanh nhôm tiêu chuẩn từ 1,2-1,4mm; Kính an toàn dày 6.38mm hoặc kính cường lực dày 8mm; Phụ kiện đồng bộ 3H nhập khẩu: Bánh xe, chốt sập,…</t>
  </si>
  <si>
    <t>Độ dày thanh nhôm tiêu chuẩn từ 1,2-1,4mm; Kính an toàn dày 6.38mm hoặc kính cường lực dày 8mm; Phụ kiện đồng bộ 3H nhập khẩu: Bánh xe, tay nắm, thanh đa điểm, …</t>
  </si>
  <si>
    <t>Cửa đi mở quay hệ VF-XF 55 (nhãn hiệu Frandoor hoặc Vixingfa)</t>
  </si>
  <si>
    <t>Cửa đi 1 cánh mở quay; Diện tích &gt;= 2,25m2</t>
  </si>
  <si>
    <t>Cửa 1 cánh mở quay; Diện tích &lt;= 1,78m2</t>
  </si>
  <si>
    <t>Độ dày thanh nhôm tiêu chuẩn từ 1,2-1,4mm; Kính an toàn dày 6.38mm hoặc kính cường lực dày 8mm; Phụ kiện đồng bộ 3H nhập khẩu: Ke góc, khóa đơn điểm, bản lề 4D, ….</t>
  </si>
  <si>
    <t>Độ dày thanh nhôm tiêu chuẩn từ 1,2-1,4mm; Kính an toàn dày 6.38mm hoặc kính cường lực dày 8mm; Phụ kiện đồng bộ 3H nhập khẩu: Ke góc, khóa đa điểm, bản lề 4D, chốt trên, chốt dưới, ….</t>
  </si>
  <si>
    <t>Cửa đi 2/4 cánh mở quay; Diện tích &gt;= 3,84m2</t>
  </si>
  <si>
    <t>Cửa đi 2/4 cánh mở quay; Diện tích &lt;= 2,64m2</t>
  </si>
  <si>
    <t>Vách mặt dựng thông tầng hệ VF-XF65 (nhãn hiện Frandoor hoặc Vixingfa); Diện tích &gt;=13,5m2</t>
  </si>
  <si>
    <t>Vách mặt dựng thông tầng hệ VF-XF65 (nhãn hiện Frandoor hoặc Vixingfa); Diện tích &lt;=7,5m2</t>
  </si>
  <si>
    <t>Độ dày thanh nhôm tiêu chuẩn từ 1,2-1,4mm; Kính an toàn dày 8.38mm; Phụ kiện đồng bộ 3H nhập khẩu: Ke góc, tay cài, bản lề A, ….</t>
  </si>
  <si>
    <r>
      <t xml:space="preserve">Công ty cổ phần VLXD Trọng Tâm - Địa chỉ 57 Lý Thường Kiệt, thành phố Đông Hà - Giá bao gồm công lắp dựng hoàn thiện </t>
    </r>
    <r>
      <rPr>
        <i/>
        <sz val="13"/>
        <rFont val="Times New Roman"/>
        <family val="1"/>
      </rPr>
      <t>(Nếu thay đổi độ dày thanh nhôm (cửa sổ 1,4mm; cửa đi 2mm) hoặc loại kính (an toàn dày 8.38mm hoặc cường lực 10mm) thì đơn giá cộng thêm 320.000 đồng/m2)</t>
    </r>
  </si>
  <si>
    <t>Sơn phủ ngoại thất Supertech pro mới</t>
  </si>
  <si>
    <t>Công ty TNHH Sơn Dũng Quảng Trị - Giá bán tại bãi tập kết xã Triệu Ái, huyện Triệu Phong</t>
  </si>
  <si>
    <t>Sơn HD Plus - Nano Max</t>
  </si>
  <si>
    <t>Công ty TNHH Thiên Bảo Quảng Trị - Giá bán tại cửa hàng, địa chỉ: Số 41 Đoàn Khuê, Đông Hà, Quảng Trị</t>
  </si>
  <si>
    <t>Sơn kháng kiềm nội thất cao cấp (21kg)</t>
  </si>
  <si>
    <t>Sơn mịn nôij thất cao cấp (24kg)</t>
  </si>
  <si>
    <t>Sơn lau chùi hiệu quả nội thất (24kg)</t>
  </si>
  <si>
    <t>Sơn siêu trắng phủ trần</t>
  </si>
  <si>
    <t>Sơn kháng kiềm ngoại thất cao cấp (21kg)</t>
  </si>
  <si>
    <t>Sơn mịn ngoại thất cao cấp (18L)</t>
  </si>
  <si>
    <t>Sơn mịn nội thất onedeal (24kg)</t>
  </si>
  <si>
    <t>Sơn mịn ngoại thất onedeal</t>
  </si>
  <si>
    <t>Chống thấm đa năng (18L)</t>
  </si>
  <si>
    <t>Bột bả ngoaị thất (40kg)</t>
  </si>
  <si>
    <t>Gạch lát ceramic 300x300</t>
  </si>
  <si>
    <t>Gạch lát ceramic 300x300: SH</t>
  </si>
  <si>
    <t>Gạch ốp ceramic 300x600: F, SH</t>
  </si>
  <si>
    <t>Gạch ốp porcelain 300x600: BS</t>
  </si>
  <si>
    <t>Gạch lát ceramic 400x400</t>
  </si>
  <si>
    <t xml:space="preserve"> 400x400</t>
  </si>
  <si>
    <t>Gạch sân vườn S 400x400</t>
  </si>
  <si>
    <t>Gạch cotto D 400x400</t>
  </si>
  <si>
    <t>Gạch 600x600 bán sứ KTS: BQ, VHP</t>
  </si>
  <si>
    <t>Gạch Fushita</t>
  </si>
  <si>
    <t>Ceramic men thường</t>
  </si>
  <si>
    <t>Ceramic men sugar</t>
  </si>
  <si>
    <t>Ceramic ốp</t>
  </si>
  <si>
    <t>Ceramic mài mặt</t>
  </si>
  <si>
    <t>Ceramic thay sơn</t>
  </si>
  <si>
    <t>Ceramic sugar</t>
  </si>
  <si>
    <t>Thiết bị vệ sinh Viglacera</t>
  </si>
  <si>
    <t>BL5 + hang xịt VG826</t>
  </si>
  <si>
    <t>C0504 + hang xịt VG826</t>
  </si>
  <si>
    <t>V37M + hang xịt VG826</t>
  </si>
  <si>
    <t>V39 + hang xịt VG826</t>
  </si>
  <si>
    <t>V38 + hang xịt VG826</t>
  </si>
  <si>
    <t>V35 + hang xịt VG826</t>
  </si>
  <si>
    <t>BỆT KÉT RỜI NẮP ÊM</t>
  </si>
  <si>
    <t>VI6  + VTL2</t>
  </si>
  <si>
    <t>VI107  + VTL2</t>
  </si>
  <si>
    <t>VI88 + VTL2 + VG826</t>
  </si>
  <si>
    <t>BỆT KÉT RỜI NẮP THƯỜNG</t>
  </si>
  <si>
    <t>VI66 + VTL2 + VG826</t>
  </si>
  <si>
    <t>VI77 + VVG826</t>
  </si>
  <si>
    <t>BỆT TRẺ EM</t>
  </si>
  <si>
    <t>CHẬU RỬA</t>
  </si>
  <si>
    <t>CHẬU VTL2,VTL3</t>
  </si>
  <si>
    <t>Chậu âm bàn CA2</t>
  </si>
  <si>
    <t>Chậu dương bàn CD1</t>
  </si>
  <si>
    <t>Chậu V72</t>
  </si>
  <si>
    <t>Chân + chậu CD50</t>
  </si>
  <si>
    <t>Chân + chậu VI5</t>
  </si>
  <si>
    <t>Chân + chậu V39</t>
  </si>
  <si>
    <t>TIỂU NAM, TIỂU NỮ</t>
  </si>
  <si>
    <t>Tiểu nam TT1</t>
  </si>
  <si>
    <t>Tiểu nam TT5</t>
  </si>
  <si>
    <t>Tiểu nam T1</t>
  </si>
  <si>
    <t>Tiểu nữ VB50</t>
  </si>
  <si>
    <t>Tiểu nữ VB3, VB5</t>
  </si>
  <si>
    <t>SẢN PHẨM KHÁC</t>
  </si>
  <si>
    <t>Chân chậu VI1T</t>
  </si>
  <si>
    <t>Vách ngăn tiểu nam</t>
  </si>
  <si>
    <t>SEN VÒI VIGLACERA</t>
  </si>
  <si>
    <t>VG125</t>
  </si>
  <si>
    <t>VG126</t>
  </si>
  <si>
    <t>SẢN PHẨM VÒI SEN-THANH TRƯỢT</t>
  </si>
  <si>
    <t>VG541</t>
  </si>
  <si>
    <t>VG541.1</t>
  </si>
  <si>
    <t>VG542</t>
  </si>
  <si>
    <t>VVG515.1</t>
  </si>
  <si>
    <t>SẢN PHẨM VÒI-SEN TẮM PHỔ THÔNG</t>
  </si>
  <si>
    <t>VG103</t>
  </si>
  <si>
    <t>VG106</t>
  </si>
  <si>
    <t>VG101</t>
  </si>
  <si>
    <t>VG503</t>
  </si>
  <si>
    <t>VG508</t>
  </si>
  <si>
    <t>VG168</t>
  </si>
  <si>
    <t>VG568</t>
  </si>
  <si>
    <t>VG111</t>
  </si>
  <si>
    <t>VG514</t>
  </si>
  <si>
    <t>VG102</t>
  </si>
  <si>
    <t>VG502(VSD-502)</t>
  </si>
  <si>
    <t>VG104(VSD-104)</t>
  </si>
  <si>
    <t>VG845</t>
  </si>
  <si>
    <t>VG841</t>
  </si>
  <si>
    <t>VG826</t>
  </si>
  <si>
    <t>VG110</t>
  </si>
  <si>
    <t>SIPHONG VÀ GƯƠNG TẮM</t>
  </si>
  <si>
    <t>VG814 (VGSP4)</t>
  </si>
  <si>
    <t>VG817.1</t>
  </si>
  <si>
    <t>VG817.2</t>
  </si>
  <si>
    <t>VG831</t>
  </si>
  <si>
    <t>VG832</t>
  </si>
  <si>
    <t>VG833</t>
  </si>
  <si>
    <t>VG834</t>
  </si>
  <si>
    <t>VG835</t>
  </si>
  <si>
    <t>PHỤ KIỆN</t>
  </si>
  <si>
    <t>VG92</t>
  </si>
  <si>
    <t>VG98</t>
  </si>
  <si>
    <t>Đèn Led dùng cho chiếu sáng đường phố</t>
  </si>
  <si>
    <t>Công ty CP Slighting Việt Nam - Giá tại chân công trình</t>
  </si>
  <si>
    <t>Đèn LED TEMBIN-SL7  Modun SMD Slighting 40W Dimming 5 cấp</t>
  </si>
  <si>
    <t>Đèn LED EDANA-SL2 Modun SMD Slighting 30W Dimming 5 cấp</t>
  </si>
  <si>
    <t xml:space="preserve">Đèn LED EDANA-SL2  Modun SMD Slighting 50W Dimming 5 cấp </t>
  </si>
  <si>
    <t>Đèn LED EDANA-SL2  Modun SMD Slighting 90W Dimming 5 cấp</t>
  </si>
  <si>
    <t xml:space="preserve">Đèn LED WALDO-SL202 Modun SMD Slighting 50W Dimming 5 cấp </t>
  </si>
  <si>
    <t xml:space="preserve">Đèn LED WALDO-SL202 Modun SMD Slighting 80W Dimming 5 cấp </t>
  </si>
  <si>
    <t>Đèn LED EDSEL-SL204  Modun SMD Slighting 30W Dimming 5 cấp</t>
  </si>
  <si>
    <t>Đèn LED EDSEL-SL204  Modun SMD Slighting 90W Dimming 5 cấp</t>
  </si>
  <si>
    <t xml:space="preserve">Đèn LED EDSEL-SL204  Modun SMD Slighting 120W Dimming 5 cấp </t>
  </si>
  <si>
    <t>Đèn LED KIT-SL9  Modun SMD Slighting 50W Dimming 5 cấp</t>
  </si>
  <si>
    <t>Đèn LED KIT-SL9  Modun SMD Slighting 90W Dimming 5 cấp</t>
  </si>
  <si>
    <t xml:space="preserve">Đèn LED KIT-SL9 Modun SMD Slighting 120W Dimming 5 cấp </t>
  </si>
  <si>
    <t>Đèn LED KIT-SL9 Modun SMD Slighting 150W Dimming 5 cấp</t>
  </si>
  <si>
    <t>Đá 1x2 (thường)</t>
  </si>
  <si>
    <t>Đá 2x4</t>
  </si>
  <si>
    <t>Đá 4x6</t>
  </si>
  <si>
    <t>Đá cấp phối Dmax37,5</t>
  </si>
  <si>
    <t>Đá cấp phối Dmax25</t>
  </si>
  <si>
    <t>DN15 (21.2 x 1.9)</t>
  </si>
  <si>
    <t>DN20 (26.65 x 2.1)</t>
  </si>
  <si>
    <t>DN25 (33.5 x 2.3)</t>
  </si>
  <si>
    <t>DN32 (42.2 x 2.3)</t>
  </si>
  <si>
    <t>DN40 (48.1 x 2.5)</t>
  </si>
  <si>
    <t>DN50 (59.9 x 2.6)</t>
  </si>
  <si>
    <t>DN65 (75.6 x 2.9)</t>
  </si>
  <si>
    <t>DN80 (88.3 x 2.9)</t>
  </si>
  <si>
    <t>DN100 (113.45 x 3.2)</t>
  </si>
  <si>
    <t>DN125 (141.3 x 3.96)</t>
  </si>
  <si>
    <t>DN150 (168.3 x 3.96)</t>
  </si>
  <si>
    <t>DN150 (168.3 x 4.78)</t>
  </si>
  <si>
    <t>DN150 (168.3 x 5.16)</t>
  </si>
  <si>
    <t>DN200 (219.1 x 4.78)</t>
  </si>
  <si>
    <t>DN200 (219.1 x 5.16)</t>
  </si>
  <si>
    <t>DN200 (219.1 x 5.56)</t>
  </si>
  <si>
    <t>DN250 (273x5.56)</t>
  </si>
  <si>
    <t>DN250 (273x6.35)</t>
  </si>
  <si>
    <t>DN300 (323.9x6.35</t>
  </si>
  <si>
    <t>DN400 (406.4x7.14)</t>
  </si>
  <si>
    <t>DN400 (406.4x7.92)</t>
  </si>
  <si>
    <t>DN500 (508x7.92)</t>
  </si>
  <si>
    <t>DN500 (508x9)</t>
  </si>
  <si>
    <t>DN600 (609.6x9)</t>
  </si>
  <si>
    <t xml:space="preserve">DN100 </t>
  </si>
  <si>
    <t>DN250</t>
  </si>
  <si>
    <t>DN300</t>
  </si>
  <si>
    <t>DN400</t>
  </si>
  <si>
    <t>DN100x80</t>
  </si>
  <si>
    <t>DN150x80</t>
  </si>
  <si>
    <t>DN150x100</t>
  </si>
  <si>
    <t>DN200x80</t>
  </si>
  <si>
    <t>DN200x100</t>
  </si>
  <si>
    <t>DN200x150</t>
  </si>
  <si>
    <t>DN250x100</t>
  </si>
  <si>
    <t>DN250x150</t>
  </si>
  <si>
    <t>DN250x200</t>
  </si>
  <si>
    <t>DN300x100</t>
  </si>
  <si>
    <t>DN300x200</t>
  </si>
  <si>
    <t>DN300x250</t>
  </si>
  <si>
    <t>DN300x150</t>
  </si>
  <si>
    <t xml:space="preserve">DN125 </t>
  </si>
  <si>
    <t>Ống nhựa xoắn HDPE Ba An- BFP Ø 32/25</t>
  </si>
  <si>
    <t>Ống nhựa xoắn HDPE Ba An- BFP Ø 40/30</t>
  </si>
  <si>
    <t>Ống nhựa xoắn HDPE Ba An- BFP Ø 50/40</t>
  </si>
  <si>
    <t>Ống nhựa xoắn HDPE Ba An- BFP Ø 65/50</t>
  </si>
  <si>
    <t>Ống nhựa xoắn HDPE Ba An- BFP Ø 85/65</t>
  </si>
  <si>
    <t>Ống nhựa xoắn HDPE Ba An- BFP Ø 90/72</t>
  </si>
  <si>
    <t>Ống nhựa xoắn HDPE Ba An- BFP Ø 105/80</t>
  </si>
  <si>
    <t>Ống nhựa xoắn HDPE Ba An- BFP Ø 110/90</t>
  </si>
  <si>
    <t>Ống nhựa xoắn HDPE Ba An- BFP Ø 130/100</t>
  </si>
  <si>
    <t>Ống nhựa xoắn HDPE Ba An- BFP Ø 160/125</t>
  </si>
  <si>
    <t>Ống nhựa xoắn HDPE Ba An- BFP Ø 195/150</t>
  </si>
  <si>
    <t>Ống nhựa xoắn HDPE Ba An- BFP Ø 200/160</t>
  </si>
  <si>
    <t>Ống nhựa xoắn HDPE Ba An- BFP Ø 230/175</t>
  </si>
  <si>
    <t>Ống nhựa xoắn HDPE Ba An- BFP Ø 260/200</t>
  </si>
  <si>
    <t>Ống nhựa xoắn HDPE Santo - ELP 25</t>
  </si>
  <si>
    <t>Ống nhựa xoắn HDPE Santo - ELP 30</t>
  </si>
  <si>
    <t>Ống nhựa xoắn HDPE Santo - ELP 40</t>
  </si>
  <si>
    <t>Ống nhựa xoắn HDPE Santo - ELP 50</t>
  </si>
  <si>
    <t>Ống nhựa xoắn HDPE Santo - ELP 65</t>
  </si>
  <si>
    <t>Ống nhựa xoắn HDPE Santo - ELP 80</t>
  </si>
  <si>
    <t>Ống nhựa xoắn HDPE Santo - ELP 90</t>
  </si>
  <si>
    <t>Ống nhựa xoắn HDPE Santo - ELP 100</t>
  </si>
  <si>
    <t>Ống nhựa xoắn HDPE Santo - ELP 125</t>
  </si>
  <si>
    <t>Ống nhựa xoắn HDPE Santo - ELP 150</t>
  </si>
  <si>
    <t>Ống nhựa xoắn HDPE Santo - ELP 160</t>
  </si>
  <si>
    <t>Ống nhựa xoắn HDPE Santo - ELP 175</t>
  </si>
  <si>
    <t>Ống nhựa xoắn HDPE Santo - ELP 200</t>
  </si>
  <si>
    <t>Ống nhựa HDPE</t>
  </si>
  <si>
    <t>D25x2,0mm</t>
  </si>
  <si>
    <t>D25x2,3mm</t>
  </si>
  <si>
    <t>D25x3,0mm</t>
  </si>
  <si>
    <t>D30x2,0mm</t>
  </si>
  <si>
    <t>D30x2,4mm</t>
  </si>
  <si>
    <t>D30x3,0mm</t>
  </si>
  <si>
    <t>D40x2,0mm</t>
  </si>
  <si>
    <t>D40x2,4mm</t>
  </si>
  <si>
    <t>D40x3,0mm</t>
  </si>
  <si>
    <t>D40x3,7mm</t>
  </si>
  <si>
    <t>D50 x 2.4mm</t>
  </si>
  <si>
    <t>D50 x 3.0mm</t>
  </si>
  <si>
    <t>D50 x 3.7mm</t>
  </si>
  <si>
    <t>D50 x 4.6mm</t>
  </si>
  <si>
    <t>D50 x 5.6mm</t>
  </si>
  <si>
    <t>D63 x 3.0mm</t>
  </si>
  <si>
    <t>D63 x 3.8mm</t>
  </si>
  <si>
    <t>D63 x 4.7mm</t>
  </si>
  <si>
    <t>D63 x 5.8mm</t>
  </si>
  <si>
    <t>D63 x 7.1mm</t>
  </si>
  <si>
    <t>D75 x 3.6mm</t>
  </si>
  <si>
    <t>D75 x 4.5mm</t>
  </si>
  <si>
    <t>D75 x 5.6mm</t>
  </si>
  <si>
    <t>D75 x 6.8mm</t>
  </si>
  <si>
    <t>D75 x 8.4mm</t>
  </si>
  <si>
    <t>D90 x 4.3mm</t>
  </si>
  <si>
    <t>D90 x 5.4mm</t>
  </si>
  <si>
    <t>D90 x 6.7mm</t>
  </si>
  <si>
    <t>D90 x 8.2mm</t>
  </si>
  <si>
    <t>D90 x 10.1mm</t>
  </si>
  <si>
    <t>D110 x 4.2mm</t>
  </si>
  <si>
    <t>D110 x 5.3mm</t>
  </si>
  <si>
    <t>D110 x 6.6mm</t>
  </si>
  <si>
    <t>D110 x 8.1mm</t>
  </si>
  <si>
    <t>D110 x 10.0mm</t>
  </si>
  <si>
    <t>D110 x 12.3mm</t>
  </si>
  <si>
    <t>D125 x 4.8mm</t>
  </si>
  <si>
    <t>D125 x 6.0mm</t>
  </si>
  <si>
    <t>D125 x 7.4mm</t>
  </si>
  <si>
    <t>D125 x 9.2mm</t>
  </si>
  <si>
    <t>D125 x11.4mm</t>
  </si>
  <si>
    <t>D125 x14.0mm</t>
  </si>
  <si>
    <t>D140 x 5.4mm</t>
  </si>
  <si>
    <t>D140 x 6.7mm</t>
  </si>
  <si>
    <t>D140 x 8.3mm</t>
  </si>
  <si>
    <t>D140 x10.3mm</t>
  </si>
  <si>
    <t>D140 x12.7mm</t>
  </si>
  <si>
    <t>D140 x15.7mm</t>
  </si>
  <si>
    <t>D160 x 6.2mm</t>
  </si>
  <si>
    <t>D160 x 7.7mm</t>
  </si>
  <si>
    <t>D160 x 9.5mm</t>
  </si>
  <si>
    <t>D160 x 11.8mm</t>
  </si>
  <si>
    <t>D160 x 14.6mm</t>
  </si>
  <si>
    <t>D160 x 17.9mm</t>
  </si>
  <si>
    <t>D180 x 6.9mm</t>
  </si>
  <si>
    <t>D180 x 8.6mm</t>
  </si>
  <si>
    <t>D180 x 10.7mm</t>
  </si>
  <si>
    <t>D180 x 13.3mm</t>
  </si>
  <si>
    <t>D180 x 16.4mm</t>
  </si>
  <si>
    <t>D180 x 20.1mm</t>
  </si>
  <si>
    <t>D200 x 7.7mm</t>
  </si>
  <si>
    <t>D200 x 9.6mm</t>
  </si>
  <si>
    <t>D200 x 11.9mm</t>
  </si>
  <si>
    <t>D200 x 14.7mm</t>
  </si>
  <si>
    <t>D200 x 18.2mm</t>
  </si>
  <si>
    <t>D200 x 22.4mm</t>
  </si>
  <si>
    <t>D225 x 8.6mm</t>
  </si>
  <si>
    <t>D225 x 10.8mm</t>
  </si>
  <si>
    <t>D225 x 13.4mm</t>
  </si>
  <si>
    <t>D225 x 16.6mm</t>
  </si>
  <si>
    <t>D225 x 20.5mm</t>
  </si>
  <si>
    <t>D225 x 25.2mm</t>
  </si>
  <si>
    <t>D250 x 9.6mm</t>
  </si>
  <si>
    <t>D250 x 11.9mm</t>
  </si>
  <si>
    <t>D250 x14.8mm</t>
  </si>
  <si>
    <t>D250 x18.4mm</t>
  </si>
  <si>
    <t>D250 x 22.7mm</t>
  </si>
  <si>
    <t>D250 x 27.9mm</t>
  </si>
  <si>
    <t>D280 x 10.7mm</t>
  </si>
  <si>
    <t>D280 x 13.4mm</t>
  </si>
  <si>
    <t>D280 x 16.6mm</t>
  </si>
  <si>
    <t>D280 x 20.6mm</t>
  </si>
  <si>
    <t>D280 x 25.4mm</t>
  </si>
  <si>
    <t>D280 x 31.3mm</t>
  </si>
  <si>
    <t>D315 x 12.1mm</t>
  </si>
  <si>
    <t>D315 x 15.0mm</t>
  </si>
  <si>
    <t>D315 x 18.7mm</t>
  </si>
  <si>
    <t>D315 x 23.2mm</t>
  </si>
  <si>
    <t>D315 x 28.6mm</t>
  </si>
  <si>
    <t>D315 x 35.2mm</t>
  </si>
  <si>
    <t>D355 x 13.6mm</t>
  </si>
  <si>
    <t>D355 x 16.9mm</t>
  </si>
  <si>
    <t>D355 x 21.1mm</t>
  </si>
  <si>
    <t>D355 x 26.1mm</t>
  </si>
  <si>
    <t>D355 x 32.2mm</t>
  </si>
  <si>
    <t>D355 x 39.7mm</t>
  </si>
  <si>
    <t>D400 x 15.3mm</t>
  </si>
  <si>
    <t>D400 x 19.1mm</t>
  </si>
  <si>
    <t>D400 x 23.7mm</t>
  </si>
  <si>
    <t>D400 x 29.4mm</t>
  </si>
  <si>
    <t>D400 x 36.3mm</t>
  </si>
  <si>
    <t>D400 x 44.7mm</t>
  </si>
  <si>
    <t>D450 x 17.2mm</t>
  </si>
  <si>
    <t>D450 x 21.5mm</t>
  </si>
  <si>
    <t>D450 x 26.7mm</t>
  </si>
  <si>
    <t>D450 x 33.1mm</t>
  </si>
  <si>
    <t>D450 x 40.9mm</t>
  </si>
  <si>
    <t>D450 x 50.3mm</t>
  </si>
  <si>
    <t>D500 x 19.1mm</t>
  </si>
  <si>
    <t>D500 x 23.9mm</t>
  </si>
  <si>
    <t>D500 x 29.7mm</t>
  </si>
  <si>
    <t>D500 x 36.8mm</t>
  </si>
  <si>
    <t>D500 x 45.4mm</t>
  </si>
  <si>
    <t>D500 x 55.8mm</t>
  </si>
  <si>
    <t>D560 x 21.4mm</t>
  </si>
  <si>
    <t>D560 x 26.7mm</t>
  </si>
  <si>
    <t>D560 x 33.2mm</t>
  </si>
  <si>
    <t>D560 x 41.2mm</t>
  </si>
  <si>
    <t>D560 x 50.8mm</t>
  </si>
  <si>
    <t>D630 x 24.1mm</t>
  </si>
  <si>
    <t>D630 x 30.0mm</t>
  </si>
  <si>
    <t>D630 x 37.4mm</t>
  </si>
  <si>
    <t>D630 x 46.3mm</t>
  </si>
  <si>
    <t>D630 x 57.2mm</t>
  </si>
  <si>
    <t>D710 x 27.2mm</t>
  </si>
  <si>
    <t>D710 x 33.9mm</t>
  </si>
  <si>
    <t>D710 x 42.1mm</t>
  </si>
  <si>
    <t>D710 x 52.2mm</t>
  </si>
  <si>
    <t>D710 x 64.5mm</t>
  </si>
  <si>
    <t>D800 x 30.6mm</t>
  </si>
  <si>
    <t>D800 x 38.1mm</t>
  </si>
  <si>
    <t>D800 x 47.4mm</t>
  </si>
  <si>
    <t>D800 x 58.8mm</t>
  </si>
  <si>
    <t>D800 x 72.6mm</t>
  </si>
  <si>
    <t>D900 x 34.4mm</t>
  </si>
  <si>
    <t>D900 x 42.9mm</t>
  </si>
  <si>
    <t>D900 x 53.3mm</t>
  </si>
  <si>
    <t>Ống nhựa uPVC</t>
  </si>
  <si>
    <t>D21x1.6mm</t>
  </si>
  <si>
    <t>D27x1.8mm</t>
  </si>
  <si>
    <t>D34x2.0mm</t>
  </si>
  <si>
    <t>D42x2.1mm</t>
  </si>
  <si>
    <t>D49x2.4mm</t>
  </si>
  <si>
    <t>D60x2.0mm</t>
  </si>
  <si>
    <t>D90x2.9mm</t>
  </si>
  <si>
    <t>D114x3.8mm</t>
  </si>
  <si>
    <t>D114x4.9mm</t>
  </si>
  <si>
    <t>D168x4.3mm</t>
  </si>
  <si>
    <t>D220x6.6mm</t>
  </si>
  <si>
    <t>D63x1.9mm</t>
  </si>
  <si>
    <t>D75x2.2mm</t>
  </si>
  <si>
    <t>D90x2.7mm</t>
  </si>
  <si>
    <t>D110x3.2mm</t>
  </si>
  <si>
    <t>D140x4.1mm</t>
  </si>
  <si>
    <t>D160x7.7mm</t>
  </si>
  <si>
    <t>D200x5.9mm</t>
  </si>
  <si>
    <t>D100x6.7mm</t>
  </si>
  <si>
    <t>D150x9.7mm</t>
  </si>
  <si>
    <t>D200x9.7mm</t>
  </si>
  <si>
    <t>D250x10.7mm</t>
  </si>
  <si>
    <t>Bồn inox Tân Á</t>
  </si>
  <si>
    <t>Bồn đứng TA 500L</t>
  </si>
  <si>
    <t>Bồn ngang TA 500L</t>
  </si>
  <si>
    <t>Bồn đứng TA 1000L</t>
  </si>
  <si>
    <t>Bồn ngang TA 1000L</t>
  </si>
  <si>
    <t>Bồn đứng TA 1500L</t>
  </si>
  <si>
    <t>Bồn ngang TA 1500L</t>
  </si>
  <si>
    <t>Văn bi tay khoa cơ DN15</t>
  </si>
  <si>
    <t>cái</t>
  </si>
  <si>
    <t>Van 1 chiều lò xo DN15</t>
  </si>
  <si>
    <t>Van 1 chiều lò xo DN20</t>
  </si>
  <si>
    <t>Van 1 chiều lò xo DN25</t>
  </si>
  <si>
    <t>Van 1 chiều lò xo DN32</t>
  </si>
  <si>
    <t>Van 1 chiều lò xo DN40</t>
  </si>
  <si>
    <t>Van 1 chiều lò xo DN50</t>
  </si>
  <si>
    <t>Van 1 chiều lò xo DN65</t>
  </si>
  <si>
    <t>Choong mở khóa</t>
  </si>
  <si>
    <t>Tay mở khóa từ bằng đồng</t>
  </si>
  <si>
    <t>Đồng hồ thể tích cấp C thân đồng DN15 (đã bao gồm rắc co)</t>
  </si>
  <si>
    <t>Hộp đồng hồ inox 350x150x140</t>
  </si>
  <si>
    <t>Van cửa đồng DN20</t>
  </si>
  <si>
    <t>Van cửa đồng DN25</t>
  </si>
  <si>
    <t>Van cửa đồng DN32</t>
  </si>
  <si>
    <t>Van cửa đồng DN40</t>
  </si>
  <si>
    <t>Van cửa đồng DN50</t>
  </si>
  <si>
    <t>Van cửa đồng DN65</t>
  </si>
  <si>
    <t>Van góc đồng không van 1 chiều tay ABS DN15</t>
  </si>
  <si>
    <t>Van góc đồng có van 1 chiều tay ABS DN15</t>
  </si>
  <si>
    <t>Van góc đồng không van 1 chiều tay khóa từ DN15</t>
  </si>
  <si>
    <t>Van góc đồng có van 1 chiều tay khóa từ DN15</t>
  </si>
  <si>
    <t>GẠCH, ĐÁ CÁC LOẠI</t>
  </si>
  <si>
    <t>Gạch Block thuỷ lực Hoa thị không màu</t>
  </si>
  <si>
    <t>Gạch Block thuỷ lực Hoa thị có màu</t>
  </si>
  <si>
    <t>Gạch Block thuỷ lực Sân khấu không màu</t>
  </si>
  <si>
    <t>Gạch Block thuỷ lực Sân khấu có màu</t>
  </si>
  <si>
    <t xml:space="preserve">Gạch Block tráng men Zíc Zắc không màu </t>
  </si>
  <si>
    <t xml:space="preserve">Gạch Block tráng men Zíc Zắc có màu </t>
  </si>
  <si>
    <t xml:space="preserve">Gạch Block tráng men Hoa thị không màu </t>
  </si>
  <si>
    <t xml:space="preserve">Gạch Block tráng men Hoa thị có màu </t>
  </si>
  <si>
    <t>Gạch Block Tráng men 25x25 không màu</t>
  </si>
  <si>
    <t>Gạch Block Tráng men 25x25 có màu</t>
  </si>
  <si>
    <t>Gạch Block thuỷ lực Zíc Zắc không màu</t>
  </si>
  <si>
    <t xml:space="preserve">Gạch Block thuỷ lực Zíc zắc có màu </t>
  </si>
  <si>
    <t>Gạch ốp, lát các loại</t>
  </si>
  <si>
    <t>Đá tự nhiên các loại</t>
  </si>
  <si>
    <t>Gạch Viglacera</t>
  </si>
  <si>
    <t>M2</t>
  </si>
  <si>
    <t>Gạch CMC</t>
  </si>
  <si>
    <t>Gạch lát (30x30cm)</t>
  </si>
  <si>
    <t>(30x60cm)  (thường)</t>
  </si>
  <si>
    <t>(50x50cm) Sân vườn Khung 1</t>
  </si>
  <si>
    <t>(60x60cm) C- thường  Khung 1 màu nhạt</t>
  </si>
  <si>
    <t>(60x60cm) C- thường Khung 2 màu đậm</t>
  </si>
  <si>
    <t>(60x60cm) Bán sứ  Khung 1 màu nhạt</t>
  </si>
  <si>
    <t>(60x60cm) Bán sứ  Khung 2 màu đậm</t>
  </si>
  <si>
    <t>(80x80cm) Bán sứ  Khung 1 nhạt</t>
  </si>
  <si>
    <t>(80x80cm) Bán sứ  Khung 2 đậm</t>
  </si>
  <si>
    <t>(14.5x60cm) Khung 1</t>
  </si>
  <si>
    <t>(15.5x80cm) Khung 1</t>
  </si>
  <si>
    <t>(1m x 1m) Khung 1</t>
  </si>
  <si>
    <t>(60x120cm) Khung 1</t>
  </si>
  <si>
    <t>Gạch ốp tường (40x80cm) KTS Khung 1</t>
  </si>
  <si>
    <t>Sàn gỗ (14.5x60cm) Khung 1</t>
  </si>
  <si>
    <t>Sàn gỗ (15.5x80cm) Khung 1</t>
  </si>
  <si>
    <t>Sàn gỗ (39.5x80cm) Khung 1</t>
  </si>
  <si>
    <t>Gạch Porcelain KTS (60x60cm) màu nhạt</t>
  </si>
  <si>
    <t>Gạch Porcelain KTS (60x60cm) màu đậm</t>
  </si>
  <si>
    <t>Gạch Porcelain KTS (60x60cm) men bóng</t>
  </si>
  <si>
    <t>Gạch Porcelain KTS (60x60cm) men mat</t>
  </si>
  <si>
    <t>Gạch Porcelain KTS (80x80) màu đậm</t>
  </si>
  <si>
    <t>Gạch Porcelain KTS (80x80) màu nhạt</t>
  </si>
  <si>
    <t>Gạch lát KTS (60x60) Ceramic màu nhạt</t>
  </si>
  <si>
    <t>Gạch lát KTS (60x60) Ceramic màu đậm</t>
  </si>
  <si>
    <t>Gạch ốp lát (60x120)  KTS Khung 1</t>
  </si>
  <si>
    <t>Gạch ốp lát (1mx1m) KTS Khung 1</t>
  </si>
  <si>
    <t>Gạch ốp tường KTS (30x60cm)  - men bóng bộ</t>
  </si>
  <si>
    <t>Gạch ốp tường KTS (30x60cm) - men mát</t>
  </si>
  <si>
    <t>Gạch ốp tường KTS (40x80)-N1</t>
  </si>
  <si>
    <t>Gạch ốp tường KTS (40x80)-đầu viền</t>
  </si>
  <si>
    <t>Gạch lát (60x60) Ceramic- men bóng màu nhạt</t>
  </si>
  <si>
    <t>Gạch lát (60x60) Ceramic - men bóng màu đậm</t>
  </si>
  <si>
    <t>Gạch lát (60x60) Ceramic - men mát màu nhạt</t>
  </si>
  <si>
    <t>Gạch lát (60x60) Ceramic - men mát màu đậm</t>
  </si>
  <si>
    <t>Gạch lát (60x60) Nano vi tinh màu nhạt</t>
  </si>
  <si>
    <t>Gạch lát (60x60) Nano vi tinh màu đậm</t>
  </si>
  <si>
    <t>Gạch lát (60x60) Ceramic -Khung 1 -đậm</t>
  </si>
  <si>
    <t>Gạch lát (60x60) Ceramic- Khung 2 -nhạt</t>
  </si>
  <si>
    <t>Gạch Porcelain (60x60) Khung 3 đậm</t>
  </si>
  <si>
    <t>Gạch Porcelain (60x60) Khung 5 nhạt</t>
  </si>
  <si>
    <t>Gạch ốp tường (40x80) Khung 2 Viền</t>
  </si>
  <si>
    <t>Gạch ốp tường (40x80) Khung 3 thân</t>
  </si>
  <si>
    <r>
      <t>Gạch (15x80) Vân gỗ định hình Khung 1</t>
    </r>
  </si>
  <si>
    <t>hộp</t>
  </si>
  <si>
    <t>Gạch Porcelain (80x80) Khung 5 nhạt</t>
  </si>
  <si>
    <t>Gạch VID</t>
  </si>
  <si>
    <t>Gạch Granit (30x60cm) giả cổ</t>
  </si>
  <si>
    <t>Gạch Granit (60x60cm) đồng chất bóng mờ</t>
  </si>
  <si>
    <t>Gạch Granit (60x60cm ) đồng chất mài bóng</t>
  </si>
  <si>
    <t>Gạch Granite KTS (60x60cm) mài bóng nano màu nhạt</t>
  </si>
  <si>
    <t>Gạch Granite KTS (60x60cm) mài bóng nano màu đậm</t>
  </si>
  <si>
    <t xml:space="preserve">Ngói lợp 22 viên/m2     </t>
  </si>
  <si>
    <t xml:space="preserve">Ngói lợp 16 viên/m2     </t>
  </si>
  <si>
    <t xml:space="preserve">Ngói nóc to      </t>
  </si>
  <si>
    <t xml:space="preserve">Ngói nóc trung   </t>
  </si>
  <si>
    <t xml:space="preserve">Ngói nóc tiểu   </t>
  </si>
  <si>
    <t xml:space="preserve">Ngói hài nhỏ </t>
  </si>
  <si>
    <t xml:space="preserve">Ngói hài  to     </t>
  </si>
  <si>
    <t>Gạch Terazzo 30 x 30 các màu</t>
  </si>
  <si>
    <t>Gạch Terazzo 40 x 40 các màu</t>
  </si>
  <si>
    <t>Gạch Terazzo 50 x 50 các màu</t>
  </si>
  <si>
    <t>Gạch 300x300x30mm</t>
  </si>
  <si>
    <t>Gạch 400x400x30mm</t>
  </si>
  <si>
    <t>Ngói các loại</t>
  </si>
  <si>
    <t>300x300x30</t>
  </si>
  <si>
    <t>400x400x30</t>
  </si>
  <si>
    <t>Ngói màu 20viên/m2</t>
  </si>
  <si>
    <t>Công ty TNHH MTV Hoàng Huy Đông Hà</t>
  </si>
  <si>
    <t>Công ty cổ phần Thiên Tân - Giá giao tại các khu vực tỉnh Quảng Trị (trừ huyện Hướng Hóa)</t>
  </si>
  <si>
    <t>Gạch lục giác hoa văn màu xám đen dày 60</t>
  </si>
  <si>
    <t>Gạch vuông giả đá</t>
  </si>
  <si>
    <t>Gạch vuông giả đá màu</t>
  </si>
  <si>
    <t>Gạch chữ nhật giả đá</t>
  </si>
  <si>
    <t>Gạch chữ nhật giả đá màu</t>
  </si>
  <si>
    <t>Gạch vuông hoa văn</t>
  </si>
  <si>
    <t>Gạch vuông hoa văn màu</t>
  </si>
  <si>
    <t>Gạch chỉ hướng</t>
  </si>
  <si>
    <t>Gạch dừng bước</t>
  </si>
  <si>
    <t xml:space="preserve">Bó vỉa chống trượt </t>
  </si>
  <si>
    <t>Md</t>
  </si>
  <si>
    <t>Ngói Đất Việt thường</t>
  </si>
  <si>
    <t>Gạch Vincera</t>
  </si>
  <si>
    <t>Gạch Hoàn Mỹ</t>
  </si>
  <si>
    <t>Gạch TTC &amp; Canary&amp; Viova</t>
  </si>
  <si>
    <t>Gạch Vicenza</t>
  </si>
  <si>
    <t>VIII</t>
  </si>
  <si>
    <t>ỐNG BÊ TÔNG LY TÂM</t>
  </si>
  <si>
    <t>Mét</t>
  </si>
  <si>
    <t>m</t>
  </si>
  <si>
    <t>D300, dùng cho vỉa hè</t>
  </si>
  <si>
    <t>Chiều dài 2-4m, 01 lớp thép, 01 đầu loe, thành ống dày 50mm</t>
  </si>
  <si>
    <t>D300, dùng cho qua đường H30</t>
  </si>
  <si>
    <t>Chiều dài 2-4m, 02 lớp thép, một đầu loe, thành ống dày 50mm</t>
  </si>
  <si>
    <t>D400, dùng cho vỉa hè</t>
  </si>
  <si>
    <t>D400, dùng cho qua đường H30</t>
  </si>
  <si>
    <t>BestSeal B12</t>
  </si>
  <si>
    <t>BestSeal AC402</t>
  </si>
  <si>
    <t xml:space="preserve">BestSeal AC404 </t>
  </si>
  <si>
    <t xml:space="preserve">BestSeal EP760 </t>
  </si>
  <si>
    <t xml:space="preserve">BestSeal AC407 </t>
  </si>
  <si>
    <t>BestSeal AC400</t>
  </si>
  <si>
    <t>BestSeal AC408</t>
  </si>
  <si>
    <t>BestSeal PU405</t>
  </si>
  <si>
    <t>BestSeal PU450</t>
  </si>
  <si>
    <t>BestSeal PU416</t>
  </si>
  <si>
    <t>BestSeal AC409</t>
  </si>
  <si>
    <t>BestSeal BP411</t>
  </si>
  <si>
    <t>BestSeal PU412</t>
  </si>
  <si>
    <t>Vữa rót</t>
  </si>
  <si>
    <t>BestGrout CE675</t>
  </si>
  <si>
    <t>BestGrout CE400</t>
  </si>
  <si>
    <t>BestGrout CE600</t>
  </si>
  <si>
    <t>Vữa sửa chữa</t>
  </si>
  <si>
    <t>BestRepair CE300</t>
  </si>
  <si>
    <t xml:space="preserve">BestRepair CE500 </t>
  </si>
  <si>
    <t>BestRefit C40</t>
  </si>
  <si>
    <t>Vữa, keo chít mạch</t>
  </si>
  <si>
    <t xml:space="preserve">BestJoint CE200 </t>
  </si>
  <si>
    <t>Vữa, keo dán gạch</t>
  </si>
  <si>
    <t>BestTile CE075</t>
  </si>
  <si>
    <t xml:space="preserve">BestTile CE150 </t>
  </si>
  <si>
    <t>Chất kết dính Epoxy</t>
  </si>
  <si>
    <t xml:space="preserve">BestBond EP751 </t>
  </si>
  <si>
    <t xml:space="preserve">BestBond EP752 </t>
  </si>
  <si>
    <t xml:space="preserve">BestBond EP750 </t>
  </si>
  <si>
    <t>BestGrout E100</t>
  </si>
  <si>
    <t>Băng cản nước</t>
  </si>
  <si>
    <t xml:space="preserve">BKN - 90 V150 </t>
  </si>
  <si>
    <t xml:space="preserve">BKN - 90 V200 </t>
  </si>
  <si>
    <t xml:space="preserve">BKN - 90 V250 </t>
  </si>
  <si>
    <t xml:space="preserve">BKN - 90 V320 </t>
  </si>
  <si>
    <t xml:space="preserve">BestWaterbar SV150 </t>
  </si>
  <si>
    <t xml:space="preserve">BestWaterbar SV200 </t>
  </si>
  <si>
    <t xml:space="preserve">BestWaterbar SV250 </t>
  </si>
  <si>
    <t xml:space="preserve">BestWaterbar SV320 </t>
  </si>
  <si>
    <t>Chất phủ nền sàn</t>
  </si>
  <si>
    <t>HardRock (Xanh)  - bao 25 kg</t>
  </si>
  <si>
    <t>HardRock (Xám) - bao 25 kg</t>
  </si>
  <si>
    <t>BestHard SP7 (Xanh) - bao 25 kg</t>
  </si>
  <si>
    <t>BestPrimer EP601 - bộ 25 kg</t>
  </si>
  <si>
    <t>BestPrimer EP602 - bộ 25 kg</t>
  </si>
  <si>
    <t>BestCoat EP604 - bộ 30 kg</t>
  </si>
  <si>
    <t>BestCoat EP605 - bộ 25 kg</t>
  </si>
  <si>
    <t>Tiêu chuẩn C1107:2017</t>
  </si>
  <si>
    <t>Tiêu chuẩn BS EN 14891:2017</t>
  </si>
  <si>
    <t>Tiêu chuẩn BS EN 1504-3:2002</t>
  </si>
  <si>
    <t>TCVN 7899-1:2008</t>
  </si>
  <si>
    <t xml:space="preserve">Tiêu chuẩn BS EN 1504-4:2005 </t>
  </si>
  <si>
    <t xml:space="preserve">TCVN 9407:2014 </t>
  </si>
  <si>
    <t>TCVN 9407:2014</t>
  </si>
  <si>
    <t xml:space="preserve">Dây đồng đơn cứng bọc PVC – 300/500 V </t>
  </si>
  <si>
    <t>VC-0,50 (F 0,80)- 300/500 V</t>
  </si>
  <si>
    <t>VC-1,00 (F1,13)- 300/500 V</t>
  </si>
  <si>
    <t>Dây điện bọc nhựa PVC - 0,6/1 kV (ruột đồng)</t>
  </si>
  <si>
    <t>VCmd-2x0.5-(2x16/0.2)-0,6/1 kV</t>
  </si>
  <si>
    <t>VCmd-2x0.75-(2x24/0.2)-0,6/1 kV</t>
  </si>
  <si>
    <t>VCmd-2x1-(2x32/0.2)-0,6/1 kV</t>
  </si>
  <si>
    <t>VCmd-2x1,5-(2x30/0.25)-0,6/1 kV</t>
  </si>
  <si>
    <t>VCmd-2x2,5-(2x50/0.25)-0,6/1 kV</t>
  </si>
  <si>
    <t>Dây điện mềm bọc nhựa PVC - 300/500V-  (ruột đồng)</t>
  </si>
  <si>
    <t>VCmo-2x1-(2x32/0.2)-300/500 V</t>
  </si>
  <si>
    <t>VCmo-2x1.5-(2x30/0.25)- 300/500 V</t>
  </si>
  <si>
    <t>VCmo-2x6-(2x7x12/0.30)- 300/500 V</t>
  </si>
  <si>
    <t>Cáp điện lực hạ thế - 0.6/1kV-(ruột đồng)</t>
  </si>
  <si>
    <t>CV-1.5 (7/0.52) -0,6/1 kV</t>
  </si>
  <si>
    <t>CV-2.5 (7/0.67)-0,6/1 kV</t>
  </si>
  <si>
    <t>CV-10 (7/1.35)-0,6/1 kV</t>
  </si>
  <si>
    <t>CV-50-0,6/1 kV</t>
  </si>
  <si>
    <t>CV-240-0,6/1 kV</t>
  </si>
  <si>
    <t>CV-300-0,6/1 kV</t>
  </si>
  <si>
    <t>Cáp điện lực hạ thế - 0,6/1 kV- (1 lõi, ruột đồng, cách điện PVC, vỏ PVC)</t>
  </si>
  <si>
    <t>CVV-1 (1x7/0.425) – 0,6/1 kV</t>
  </si>
  <si>
    <t>CVV-1.5 (1x7/0,52) – 0,6/1 kV</t>
  </si>
  <si>
    <t>CVV-6.0 (1x7/1.04) – 0,6/1 kV</t>
  </si>
  <si>
    <t>CVV-25 – 0,6/1 kV</t>
  </si>
  <si>
    <t>CVV-50– 0,6/1 kV</t>
  </si>
  <si>
    <t>CVV-95 – 0,6/1 kV</t>
  </si>
  <si>
    <t>CVV-150 – 0,6/1 kV</t>
  </si>
  <si>
    <t>Cáp điện lực hạ thế – 300/500 V-  (2 lõi, ruột đồng, cách điện PVC, vỏ PVC)</t>
  </si>
  <si>
    <t>CVV-2x1.5 (2x7/0.52)– 300/500 V</t>
  </si>
  <si>
    <t>CVV-2x4 (2x7/0.85)– 300/500 V</t>
  </si>
  <si>
    <t>CVV-2x10 (2x7/1.35)– 300/500 V</t>
  </si>
  <si>
    <t>Cáp điện lực hạ thế – 300/500 V-  (3 lõi, ruột đồng, cách điện PVC, vỏ PVC)</t>
  </si>
  <si>
    <t>CVV-3x1.5 (3x7/0.52) – 300/500 V</t>
  </si>
  <si>
    <t>CVV-3x2.5 (3x7/0.67) – 300/500 V</t>
  </si>
  <si>
    <t>CVV-3x6 (3x7/1.04) – 300/500 V</t>
  </si>
  <si>
    <t>Cáp điện lực hạ thế – 300/500 V-  (4 lõi, ruột đồng, cách điện PVC, vỏ PVC)</t>
  </si>
  <si>
    <t>CVV-4x1.5 (4x7/0.52) – 300/500 V</t>
  </si>
  <si>
    <t>CVV-4x2.5 (4x7/0.67) – 300/500 V</t>
  </si>
  <si>
    <t>Cáp điện lực hạ thế - 0,6/1 kV-  (2 lõi, ruột đồng, cách điện PVC, vỏ PVC)</t>
  </si>
  <si>
    <t>CVV-2x16 – 0,6/1 kV</t>
  </si>
  <si>
    <t>CVV-2x25 – 0,6/1 kV</t>
  </si>
  <si>
    <t>CVV-2x150 – 0,6/1 kV</t>
  </si>
  <si>
    <t>CVV-2x185 – 0,6/1 kV</t>
  </si>
  <si>
    <t>Cáp điện lực hạ thế - 0,6/1 kV-  (3 lõi, ruột đồng, cách điện PVC, vỏ PVC)</t>
  </si>
  <si>
    <t>CVV-3x16 – 0,6/1 kV</t>
  </si>
  <si>
    <t>CVV-3x50 – 0,6/1 kV</t>
  </si>
  <si>
    <t>CVV-3x95 – 0,6/1 kV</t>
  </si>
  <si>
    <t>CVV-3x120 – 0,6/1 kV</t>
  </si>
  <si>
    <t>Cáp điện lực hạ thế - 0,6/1 kV- (4 lõi, ruột đồng, cách điện PVC, vỏ PVC)</t>
  </si>
  <si>
    <t>CVV-4x16 – 0,6/1 kV</t>
  </si>
  <si>
    <t>CVV-4x25 – 0,6/1 kV</t>
  </si>
  <si>
    <t>CVV-4x50 – 0,6/1 kV</t>
  </si>
  <si>
    <t>CVV-4x120 – 0,6/1 kV</t>
  </si>
  <si>
    <t>CVV-4x185 – 0,6/1 kV</t>
  </si>
  <si>
    <t>Cáp điện lực hạ thế - 0,6/1 kV-  (3 lõi pha + 1 lõi đất, ruột đồng, cách điện PVC, vỏ PVC)</t>
  </si>
  <si>
    <t>CVV-3x16+1x10 -0,6/1kV</t>
  </si>
  <si>
    <t>CVV-3x25+1x16 -0,6/1 kV</t>
  </si>
  <si>
    <t>CVV-3x50+1x25 -0,6/1 kV</t>
  </si>
  <si>
    <t>CVV-3x95+1x50 -0,6/1 kV</t>
  </si>
  <si>
    <t>CVV-3x120+1x70 -0,6/1 kV</t>
  </si>
  <si>
    <t>Cáp điện lực hạ thế có giáp bảo vệ- 0,6/1 kV- (1 lõi ruột đồng, cách điện PVC, giáp băng nhôm bảo vệ, vỏ PVC)</t>
  </si>
  <si>
    <t>CVV/DATA-25-0,6/1 kV</t>
  </si>
  <si>
    <t>CVV/DATA-50-0,6/1 kV</t>
  </si>
  <si>
    <t>CVV/DATA-95-0,6/1 kV</t>
  </si>
  <si>
    <t>CVV/DATA-240-0,6/1 kV</t>
  </si>
  <si>
    <t>Cáp điện lực hạ thế có giáp bảo vệ- 0,6/1 kV-  (2 lõi ruột đồng, cách điện PVC, giáp băng thép bảo vệ, vỏ PVC)</t>
  </si>
  <si>
    <t>CVV/DSTA-2x4 (2x7/0.85) -0,6/1 kV</t>
  </si>
  <si>
    <t>CVV/DSTA-2x10 (2x7/1.35) -0,6/1 kV</t>
  </si>
  <si>
    <t>CVV/DSTA-2x50 -0,6/1 kV</t>
  </si>
  <si>
    <t>CVV/DSTA-2x150-0,6/1 kV</t>
  </si>
  <si>
    <t>Cáp điện lực hạ thế có giáp bảo vệ- 0,6/1 kV-  (3 lõi ruột đồng, cách điện PVC, giáp băng thép bảo vệ, vỏ PVC)</t>
  </si>
  <si>
    <t>CVV/DSTA-3x6 -0,6/1 kV</t>
  </si>
  <si>
    <t>CVV/DSTA-3x16 -0,6/1 kV</t>
  </si>
  <si>
    <t>CVV/DSTA-3x50 -0,6/1 kV</t>
  </si>
  <si>
    <t>CVV/DSTA-3x185 -0,6/1 kV</t>
  </si>
  <si>
    <t>Cáp điện lực hạ thế có giáp bảo vệ- 0,6/1 kV- (3 lõi pha + 1 lõi đất, ruột đồng, cách điện PVC, giáp băng thép bảo vệ, vỏ PVC)</t>
  </si>
  <si>
    <t>CVV/DSTA-3x4+1x2.5 -0,6/1 kV</t>
  </si>
  <si>
    <t>CVV/DSTA-3x16+1x10 -0,6/1 kV</t>
  </si>
  <si>
    <t>CVV/DSTA -3x50+1x25 -0,6/1 kV</t>
  </si>
  <si>
    <t>CVV/DSTA -3x240+1x120 -0,6/1 kV</t>
  </si>
  <si>
    <t>Dây đồng trần xoắn (TCVN)</t>
  </si>
  <si>
    <t>C-10</t>
  </si>
  <si>
    <t>C-50</t>
  </si>
  <si>
    <t>Cáp điện kế – 0,6/1 kV-  (2 lõi, ruột đồng, cách điện PVC, vỏ PVC)</t>
  </si>
  <si>
    <t xml:space="preserve">DK-CVV-2x10  -0,6/1 kV </t>
  </si>
  <si>
    <t>DK-CVV-2x35 -0,6/1 kV</t>
  </si>
  <si>
    <t>DVV-2x1.5 (2x7/0.52) -0,6/1 kV</t>
  </si>
  <si>
    <t>DVV-10x2.5 (10x7/0.67) -0,6/1 kV</t>
  </si>
  <si>
    <t>DVV-19x4 (19x7/0.85) -0,6/1 kV</t>
  </si>
  <si>
    <t>DVV-37x2.5 (37x7/0.67) -0,6/1 kV</t>
  </si>
  <si>
    <t>DVV/Sc-3x1.5 (3x7/0.52) -0,6/1 kV</t>
  </si>
  <si>
    <t>DVV/Sc-8x2.5 (8x7/0.67) -0,6/1 kV</t>
  </si>
  <si>
    <t>DVV/Sc-30x2.5 (30x7/0.67) -0,6/1 kV</t>
  </si>
  <si>
    <t>Cáp trung thế treo-12/20(24) kV hoặc 12.7/22(24) kV -  (ruột đồng, có chống thấm, bán dẫn ruột dẫn, cách điện XLPE, vỏ PVC)</t>
  </si>
  <si>
    <t>CX1V/WBC-95-12/20(24) kV</t>
  </si>
  <si>
    <t>CX1V/WBC-240-12/20(24) kV</t>
  </si>
  <si>
    <t>CXV/SE-DSTA-3x50-12/20(24) kV</t>
  </si>
  <si>
    <t>CXV/SE-DSTA-3x400-12/20(24) kV</t>
  </si>
  <si>
    <t>Dây điện lực (AV)-0,6/1kV</t>
  </si>
  <si>
    <t>AV-16-0,6/1 kV</t>
  </si>
  <si>
    <t>AV-35-0,6/1 kV</t>
  </si>
  <si>
    <t>AV-120-0,6/1 kV</t>
  </si>
  <si>
    <t>AV-500-0,6/1 kV</t>
  </si>
  <si>
    <t xml:space="preserve">Dây nhôm lõi thép </t>
  </si>
  <si>
    <t xml:space="preserve">ACSR-50/8 (6/3.2+1/3.2)  </t>
  </si>
  <si>
    <t xml:space="preserve">ACSR-95/16 (6/4.5+1/4.5)  </t>
  </si>
  <si>
    <t xml:space="preserve">ACSR-240/32 (24/3.6+7/2.4)  </t>
  </si>
  <si>
    <t>Cáp vặn xoắn hạ thế -0,6/1 kV- (2 lõi, ruột nhôm, cách điện XLPE)</t>
  </si>
  <si>
    <t>LV-ABC-2x50-0,6/1 kV (ruột nhôm)</t>
  </si>
  <si>
    <t>Ống luồn dây điện :</t>
  </si>
  <si>
    <t>Ống luồn  tròn F16 dài 2,9 m</t>
  </si>
  <si>
    <t>Ống luồn cứng  F16-1250N-CA16H</t>
  </si>
  <si>
    <t>Ống luồn đàn hồi  CAF-16</t>
  </si>
  <si>
    <t>Ống luồn đàn hồi  CAF-20</t>
  </si>
  <si>
    <t>Cáp điện lực hạ thế chống cháy 0,6/1 kV-  (1 lõi, ruột đồng, cách điện FR-PVC)</t>
  </si>
  <si>
    <t>CV/FR-1x25 -0,6/1 kV</t>
  </si>
  <si>
    <t>CV/FR-1x240 -0,6/1 kV</t>
  </si>
  <si>
    <t>Cáp năng lượng mặt trời H1Z2Z2-K-1,5kV DC</t>
  </si>
  <si>
    <t>H1Z2Z2-K-4-1,5kV DC</t>
  </si>
  <si>
    <t>H1Z2Z2-K-6-1,5kV DC</t>
  </si>
  <si>
    <t>H1Z2Z2-K-300-1,5kV DC</t>
  </si>
  <si>
    <t>mét</t>
  </si>
  <si>
    <t xml:space="preserve">ống </t>
  </si>
  <si>
    <t xml:space="preserve">cuộn </t>
  </si>
  <si>
    <r>
      <t>M</t>
    </r>
    <r>
      <rPr>
        <vertAlign val="superscript"/>
        <sz val="13"/>
        <rFont val="Times New Roman"/>
        <family val="1"/>
      </rPr>
      <t>3</t>
    </r>
  </si>
  <si>
    <r>
      <t>M</t>
    </r>
    <r>
      <rPr>
        <vertAlign val="superscript"/>
        <sz val="13"/>
        <rFont val="Times New Roman"/>
        <family val="1"/>
      </rPr>
      <t>2</t>
    </r>
  </si>
  <si>
    <t>TCVN 6610-3</t>
  </si>
  <si>
    <t>TC AS/NZS 5000.1</t>
  </si>
  <si>
    <t>TCVN 6610-5</t>
  </si>
  <si>
    <t xml:space="preserve"> TCVN 5935-1</t>
  </si>
  <si>
    <t>TCVN 6610-4</t>
  </si>
  <si>
    <t>TCVN 5935-1</t>
  </si>
  <si>
    <t xml:space="preserve">TCVN - 5064 </t>
  </si>
  <si>
    <t>TCVN 5935-2</t>
  </si>
  <si>
    <t xml:space="preserve"> TCVN 5935-2/ IEC 60502-2</t>
  </si>
  <si>
    <t>AS/NZS 5000.1</t>
  </si>
  <si>
    <t>TCVN 5064</t>
  </si>
  <si>
    <t>TCVN 6447/AS 3560</t>
  </si>
  <si>
    <t>BSEN 61386-21; BS4607; TCVN 7417-21</t>
  </si>
  <si>
    <t>BSEN 61386-22; BS4607; TCVN 7417-22</t>
  </si>
  <si>
    <t>TCVN 5935-1/IEC 60331-21, IEC 60332-3 CAT C</t>
  </si>
  <si>
    <t>BS EN 50618</t>
  </si>
  <si>
    <t>TUV Pfg 1990/05.12</t>
  </si>
  <si>
    <t>IEC 60754-1</t>
  </si>
  <si>
    <r>
      <t>DK-CVV-2x4 -0,6/1 kV</t>
    </r>
    <r>
      <rPr>
        <i/>
        <sz val="13"/>
        <color indexed="8"/>
        <rFont val="Times New Roman"/>
        <family val="1"/>
      </rPr>
      <t xml:space="preserve"> </t>
    </r>
  </si>
  <si>
    <r>
      <t>Cáp điều khiển - 0,6/1 kV-  (2</t>
    </r>
    <r>
      <rPr>
        <sz val="13"/>
        <color indexed="8"/>
        <rFont val="Symbol"/>
        <family val="1"/>
      </rPr>
      <t>®</t>
    </r>
    <r>
      <rPr>
        <i/>
        <sz val="13"/>
        <color indexed="8"/>
        <rFont val="Times New Roman"/>
        <family val="1"/>
      </rPr>
      <t>37 lõi, ruột đồng, cách điện PVC, vỏ PVC)</t>
    </r>
  </si>
  <si>
    <r>
      <t>Cáp điều khiển có màn chắn chống nhiễu - 0,6/1 kV-  (2</t>
    </r>
    <r>
      <rPr>
        <sz val="13"/>
        <color indexed="8"/>
        <rFont val="Symbol"/>
        <family val="1"/>
      </rPr>
      <t>®</t>
    </r>
    <r>
      <rPr>
        <i/>
        <sz val="13"/>
        <color indexed="8"/>
        <rFont val="Times New Roman"/>
        <family val="1"/>
      </rPr>
      <t>37 lõi, ruột đồng, cách điện PVC, vỏ PVC)</t>
    </r>
  </si>
  <si>
    <r>
      <t>Cáp trung thế có màn chắn kim loại -</t>
    </r>
    <r>
      <rPr>
        <sz val="13"/>
        <color indexed="8"/>
        <rFont val="Times New Roman"/>
        <family val="1"/>
      </rPr>
      <t xml:space="preserve"> </t>
    </r>
    <r>
      <rPr>
        <i/>
        <sz val="13"/>
        <color indexed="8"/>
        <rFont val="Times New Roman"/>
        <family val="1"/>
      </rPr>
      <t>12/20(24) kV hoặc 12.7/22(24) kV - (3 lõi, ruột đồng, bán dẫn ruột dẫn, cách điện XLPE, bán dẫn cách điện, màn chắn kim loại cho từng lõi, vỏ PVC)</t>
    </r>
  </si>
  <si>
    <t xml:space="preserve">Cáp cách điện bằng PVC, có điện áp danh định đến và bằng 450/750V </t>
  </si>
  <si>
    <t>VCm  1C x 0,5 mm2</t>
  </si>
  <si>
    <t>VCm  1C x 0,75 mm2</t>
  </si>
  <si>
    <t>VCm  1C x 1,0 mm2</t>
  </si>
  <si>
    <t>VCm  1C x 1,5 mm2</t>
  </si>
  <si>
    <t>VCm  1C x 2,5 mm2</t>
  </si>
  <si>
    <t>VCm  1C x 4,0 mm2</t>
  </si>
  <si>
    <t>VCm  1C x 6,0 mm2</t>
  </si>
  <si>
    <t>VCm  1C x 10 mm2</t>
  </si>
  <si>
    <t>6610 TCVN 05 (227 IEC 05)</t>
  </si>
  <si>
    <t>6610 TCVN 02 (227 IEC 05)</t>
  </si>
  <si>
    <t>Cáp cách điện bằng PVC, có điện áp danh định đến và bằng 450/750V</t>
  </si>
  <si>
    <t>VCmo 2C x 0,75 mm2</t>
  </si>
  <si>
    <t>VCmo 2C x 1,0 mm2</t>
  </si>
  <si>
    <t>VCmo 2C x 1,5 mm2</t>
  </si>
  <si>
    <t>VCmo 2C x 2,5 mm2</t>
  </si>
  <si>
    <t>VCmo 2C x 4,0 mm2</t>
  </si>
  <si>
    <t>VCmo 2C x 6,0 mm2</t>
  </si>
  <si>
    <t>6610 TCVN 52 (60227 IEC 52)</t>
  </si>
  <si>
    <t xml:space="preserve">Cáp điện có cách điện dạng đùn, dùng cho điện áp danh định bằng 1kV (Um=1,2kV) Đến 3kV (Um= 3,6kV) </t>
  </si>
  <si>
    <t>CÁP ĐIỆN HẠ THẾ 2 LÕI CÁCH ĐIỆN PVC 0,6/1kV</t>
  </si>
  <si>
    <t>Cu/PVC/PVC 2C x 1,5 mm2</t>
  </si>
  <si>
    <t>Cu/PVC/PVC 2C x 2,5 mm2</t>
  </si>
  <si>
    <t>Cu/PVC/PVC 2C x 4,0 mm2</t>
  </si>
  <si>
    <t>Cu/PVC/PVC 2C x 6,0 mm2</t>
  </si>
  <si>
    <t>Cu/PVC/PVC 2C x 10 mm2</t>
  </si>
  <si>
    <t>TCVN 5935-1:2013 (IEC 60502-1:2009)</t>
  </si>
  <si>
    <t>CÁP ĐIỆN HẠ THẾ 2 LÕI CÁCH ĐIỆN XLPE 0,6/1kV</t>
  </si>
  <si>
    <t>Cu/XLPE/PVC 2C x 4,0mm2</t>
  </si>
  <si>
    <t>Cu/XLPE/PVC 2C x 6,0mm2</t>
  </si>
  <si>
    <t>Cu/XLPE/PVC 2C x 10mm2</t>
  </si>
  <si>
    <t>CÁP ĐIỆN NGẦM HẠ THẾ 2 LÕI CÁCH ĐIỆN XLPE 0,6/1kV</t>
  </si>
  <si>
    <t>Cu/XLPE/DSTA/PVC 2C x 10mm2</t>
  </si>
  <si>
    <t>CÁP ĐIỆN HẠ THẾ 3 LÕI + 1 LÕI TRUNG TÍNH CÁCH ĐIỆN XLPE 0,6/1kV</t>
  </si>
  <si>
    <t>Cu/XLPE/PVC  3Cx4,0 + 1Cx2,5 mm2</t>
  </si>
  <si>
    <t>Cu/XLPE/PVC 3Cx6,0 + 1Cx4,0 mm2</t>
  </si>
  <si>
    <t>Cu/XLPE/PVC 3Cx10 +1Cx6,0 mm2</t>
  </si>
  <si>
    <t>Cu/XLPE/PVC 3Cx16 +1Cx10 mm2</t>
  </si>
  <si>
    <t>Cu/XLPE/PVC 3Cx25 +1Cx16 mm2</t>
  </si>
  <si>
    <t>Cu/XLPE/PVC 3Cx50 +1Cx25 mm2</t>
  </si>
  <si>
    <t>CÁP ĐIỆN NGẦM  HẠ THẾ 3 LÕI + 1 LÕI TRUNG TÍNH CÁCH ĐIỆN XLPE 0,6/1kV</t>
  </si>
  <si>
    <t>Cu/XLPE/PVC/DSTA/PVC 3Cx6,0 +1Cx4,0 mm2</t>
  </si>
  <si>
    <t>Cu/XLPE/PVC/DSTA/PVC  3Cx10 +1Cx6,0 mm2</t>
  </si>
  <si>
    <t>Cu/XLPE/PVC/DSTA/PVC  3Cx16 +1Cx10 mm2</t>
  </si>
  <si>
    <t>Cu/XLPE/PVC/DSTA/PVC  3Cx25 +1Cx16 mm2</t>
  </si>
  <si>
    <t>Cu/XLPE/PVC/DSTA/PVC  3Cx50 +1Cx25 mm2</t>
  </si>
  <si>
    <t>CÁP ĐIỆN HẠ THẾ 4 LÕI CÁCH ĐIỆN XLPE 0,6/1kV</t>
  </si>
  <si>
    <t>Cu/XLPE/PVC  4C x 4,0 mm2</t>
  </si>
  <si>
    <t>Cu/XLPE/PVC  4C x 6,0 mm2</t>
  </si>
  <si>
    <t>Cu/XLPE/PVC  4C x 10 mm2</t>
  </si>
  <si>
    <t>Cu/XLPE/PVC  4C x 16 mm2</t>
  </si>
  <si>
    <t>Cu/XLPE/PVC  4C x 25 mm2</t>
  </si>
  <si>
    <t>Cu/XLPE/PVC  4C x 50 mm2</t>
  </si>
  <si>
    <t>CÁP ĐIỆN NGẦM HẠ THẾ 4 LÕI CÁCH ĐIỆN XLPE 0,6/1kV</t>
  </si>
  <si>
    <t>Cu/XLPE/PVC/DSTA/PVC  4C x 4,0 mm2</t>
  </si>
  <si>
    <t>Cu/XLPE/PVC/DSTA/PVC  4C x 6,0 mm2</t>
  </si>
  <si>
    <t>Cu/XLPE/PVC/DSTA/PVC  4C x 10 mm2</t>
  </si>
  <si>
    <t>Cu/XLPE/PVC/DSTA/PVC  4C x 16 mm2</t>
  </si>
  <si>
    <t>Cu/XLPE/PVC/DSTA/PVC  4C x 25 mm2</t>
  </si>
  <si>
    <t>Cu/XLPE/PVC/DSTA/PVC  4C x 50 mm2</t>
  </si>
  <si>
    <t>Hào kỹ thuật bê tông cốt thép</t>
  </si>
  <si>
    <t>Hào kỹ thuật BTCT 1 ngăn  thành mỏng đúc sẵn – Vỉa hè; Kt: B200-H300-L2000mm</t>
  </si>
  <si>
    <t>Hào kỹ thuật BTCT 1 ngăn  thành mỏng đúc sẵn – Vỉa hè; Kt: B400-H300-L2000mm</t>
  </si>
  <si>
    <t>Hào kỹ thuật BTCT 2 ngăn  thành mỏng đúc sẵn – Vỉa hè; Kt: B200x300-H300-L2000mm</t>
  </si>
  <si>
    <t>Hào kỹ thuật BTCT 2 ngăn  thành mỏng đúc sẵn – Vỉa hè; Kt: B200x400-H300-L2000mm</t>
  </si>
  <si>
    <t>Hào kỹ thuật BTCT 1 ngăn  thành mỏng đúc sẵn – Lòng đường; Kt: B200-H300-L2000mm</t>
  </si>
  <si>
    <t>Hào kỹ thuật BTCT 1 ngăn  thành mỏng đúc sẵn – Lòng đường; Kt: B400-H300-L2000mm</t>
  </si>
  <si>
    <t>Hào kỹ thuật BTCT 2 ngăn  thành mỏng đúc sẵn – Lòng đường; Kt: B200x300-H300-L2000mm</t>
  </si>
  <si>
    <t>TCVN 10332:2014</t>
  </si>
  <si>
    <t>Hào kỹ thuật BTCT 2 ngăn  thành mỏng đúc sẵn – Lòng đường; Kt: B200x400-H300-L2000mm</t>
  </si>
  <si>
    <t>Hào kỹ thuật bê tông cốt sợi</t>
  </si>
  <si>
    <t>Hào kỹ thuật bê tông cốt thép gia cường sợi (BTCT) 1 ngăn  thành mỏng đúc sẵn – Lòng đường, Kt: B300-H300-L2000mm.</t>
  </si>
  <si>
    <t>Hào kỹ thuật bê tông cốt thép gia cường sợi (BTCT) 2 ngăn  thành mỏng đúc sẵn – Lòng đường, Kt: B200x300-H300-L2000mm.</t>
  </si>
  <si>
    <t>Hào kỹ thuật bê tông cốt sợi (BTCS) 1 ngăn  thành mỏng đúc sẵn – Vỉa hè, Kt: B300-H300-L2000mm.</t>
  </si>
  <si>
    <t>Hào kỹ thuật bê tông cốt sợi (BTCS) 2 ngăn  thành mỏng đúc sẵn – Vỉa hè, 
Kt: B200x300-H300-L2000mm.</t>
  </si>
  <si>
    <t xml:space="preserve">Hệ thống hố ga thu nước mưa và ngăn mùi; </t>
  </si>
  <si>
    <t>Cấu kiện kè</t>
  </si>
  <si>
    <t>Đèn Led TOBY 75 - 110</t>
  </si>
  <si>
    <r>
      <t>m</t>
    </r>
    <r>
      <rPr>
        <vertAlign val="superscript"/>
        <sz val="13"/>
        <color indexed="8"/>
        <rFont val="Times New Roman"/>
        <family val="1"/>
      </rPr>
      <t>2</t>
    </r>
  </si>
  <si>
    <t>Gạch ốp tường KTS (30x60cm) - men matt</t>
  </si>
  <si>
    <t xml:space="preserve">Gạch lát (60x60) Bán sứ mài bóng màu nhạt </t>
  </si>
  <si>
    <t>Gạch lát (60x60) Bán sứ mài bóng màu đậm</t>
  </si>
  <si>
    <t>Gạch Granit (30x60) giả cổ</t>
  </si>
  <si>
    <t>Gạch Granit (60x60) đồng chất bóng mờ</t>
  </si>
  <si>
    <t>Gạch Granit (60x60) đồng chất mài bóng</t>
  </si>
  <si>
    <t>600x2400</t>
  </si>
  <si>
    <t>600x240</t>
  </si>
  <si>
    <t>(340 x 205 x 13) mm</t>
  </si>
  <si>
    <t xml:space="preserve">Ngói lợp 16 viên/m2    </t>
  </si>
  <si>
    <t xml:space="preserve"> (370 x 230 x 13) mm</t>
  </si>
  <si>
    <t xml:space="preserve">Ngói nóc to     </t>
  </si>
  <si>
    <t xml:space="preserve"> (360 x 170 x 16 ) mm</t>
  </si>
  <si>
    <t>(240 x 110 x 125 ) mm</t>
  </si>
  <si>
    <t xml:space="preserve">Ngói nóc tiểu  </t>
  </si>
  <si>
    <t xml:space="preserve"> (200 x 100 x 9 ) mm</t>
  </si>
  <si>
    <t xml:space="preserve">(150 x 150 x 11) mm </t>
  </si>
  <si>
    <t xml:space="preserve">(270 x 200 x 15) mm </t>
  </si>
  <si>
    <t>Xà gồ C Đại Long</t>
  </si>
  <si>
    <t>Xà gồ Z Đại Long</t>
  </si>
  <si>
    <t>C100x50x15x2,0ly</t>
  </si>
  <si>
    <t>C120x45x12x1,8ly</t>
  </si>
  <si>
    <t>C120x45x12x2,0ly</t>
  </si>
  <si>
    <t>C125x45x12x1,8ly</t>
  </si>
  <si>
    <t>C125x45x12x2,0ly</t>
  </si>
  <si>
    <t>C150x46x12x1,8ly</t>
  </si>
  <si>
    <t>C150x46x12x2,0ly</t>
  </si>
  <si>
    <t>C150x50x12x2,0ly</t>
  </si>
  <si>
    <t>C180x47x12x1,8ly</t>
  </si>
  <si>
    <t>C180x47x12x2,0ly</t>
  </si>
  <si>
    <t>C180x63x15x2,0ly</t>
  </si>
  <si>
    <t>C200x46x15x1,8ly</t>
  </si>
  <si>
    <t>C200x46x15x2,0ly</t>
  </si>
  <si>
    <t>C200x63x15x1,8ly</t>
  </si>
  <si>
    <t>C200x63x15x2,0ly</t>
  </si>
  <si>
    <t>C200x65x20x1,8ly</t>
  </si>
  <si>
    <t>Vách kính, cửa nhựa lõi thép sử dụng thanh nhựa uPVC tập đoàn Shide, kính trong an toàn dày 6.38mm</t>
  </si>
  <si>
    <t>(80x80cm) granite :SH-GP</t>
  </si>
  <si>
    <t>(60*60cm) Pocelain: GX</t>
  </si>
  <si>
    <t>(60*60cm) Pocelain: LX</t>
  </si>
  <si>
    <t>(80*80cm) Pocelain: LX Màu nhạt</t>
  </si>
  <si>
    <t>(80*80cm) Pocelain: LX Màu đậm</t>
  </si>
  <si>
    <t>(30*60cm) ceramic ốp màu nhạt</t>
  </si>
  <si>
    <t>(30*60cm) ceramic ốp màu đậm</t>
  </si>
  <si>
    <t>800*800</t>
  </si>
  <si>
    <t>300*600</t>
  </si>
  <si>
    <t>Sơn nội thất mịn trắng, màu NIKKOTEX Extra</t>
  </si>
  <si>
    <t>24Kg</t>
  </si>
  <si>
    <t>Sơn nội thất mịn cao cấp trắng, màu NIKKOTEX x2</t>
  </si>
  <si>
    <t>20Kg</t>
  </si>
  <si>
    <r>
      <t xml:space="preserve">Sơn siêu trắng nội thất  NIKKOTEX </t>
    </r>
    <r>
      <rPr>
        <b/>
        <vertAlign val="subscript"/>
        <sz val="10"/>
        <color indexed="8"/>
        <rFont val="Times New Roman"/>
        <family val="1"/>
      </rPr>
      <t>SUPER WHITE</t>
    </r>
  </si>
  <si>
    <t>Sơn ngoại thất cao cấp trắng, màu NIKKOTEX x6</t>
  </si>
  <si>
    <t>Sơn lót kháng kiềm, mốc nội thất NIKKOTEX x4</t>
  </si>
  <si>
    <t>22Kg</t>
  </si>
  <si>
    <t xml:space="preserve">Sơn lót kháng kiềm cao cấp ngoài nhà NIKKOTEX x5 </t>
  </si>
  <si>
    <t>21Kg</t>
  </si>
  <si>
    <r>
      <t xml:space="preserve">Sơn chống thấm đa năng trộn xi măng NIKKOTEX </t>
    </r>
    <r>
      <rPr>
        <b/>
        <vertAlign val="subscript"/>
        <sz val="10"/>
        <color indexed="8"/>
        <rFont val="Times New Roman"/>
        <family val="1"/>
      </rPr>
      <t>NK – 11A</t>
    </r>
  </si>
  <si>
    <r>
      <t xml:space="preserve">Bột </t>
    </r>
    <r>
      <rPr>
        <b/>
        <sz val="10"/>
        <color indexed="8"/>
        <rFont val="Times New Roman"/>
        <family val="1"/>
      </rPr>
      <t>NIKKOTEXsuper</t>
    </r>
    <r>
      <rPr>
        <sz val="10"/>
        <color indexed="8"/>
        <rFont val="Times New Roman"/>
        <family val="1"/>
      </rPr>
      <t xml:space="preserve"> trong nhà cao cấp</t>
    </r>
  </si>
  <si>
    <r>
      <t xml:space="preserve">Bột </t>
    </r>
    <r>
      <rPr>
        <b/>
        <sz val="10"/>
        <color indexed="8"/>
        <rFont val="Times New Roman"/>
        <family val="1"/>
      </rPr>
      <t>NIKKOTEXmax</t>
    </r>
    <r>
      <rPr>
        <sz val="10"/>
        <color indexed="8"/>
        <rFont val="Times New Roman"/>
        <family val="1"/>
      </rPr>
      <t xml:space="preserve"> chống thấm ngoài trời cao cấp</t>
    </r>
  </si>
  <si>
    <t>Sơn Nikkotex</t>
  </si>
  <si>
    <t>Công ty cổ phần sơn Nikko Việt Nam - Giá tại các đại lý phân phối trên địa bàn tỉnh</t>
  </si>
  <si>
    <t>19kg</t>
  </si>
  <si>
    <t>Sơn Nissin</t>
  </si>
  <si>
    <t>Sơn nội thất mịn trắng, màu   NISSIN v100</t>
  </si>
  <si>
    <t>Sơn nội thất mịn cao cấp trắng, màu NISSIN v200</t>
  </si>
  <si>
    <r>
      <t xml:space="preserve">Sơn siêu trắng nội thất NISSIN </t>
    </r>
    <r>
      <rPr>
        <b/>
        <vertAlign val="subscript"/>
        <sz val="10.5"/>
        <color indexed="8"/>
        <rFont val="Times New Roman"/>
        <family val="1"/>
      </rPr>
      <t>SUPER WITE</t>
    </r>
  </si>
  <si>
    <t>Sơn ngoại thất cao cấp trắng, màu NISSIN v700</t>
  </si>
  <si>
    <t>Sơn lót chống kiềm, mốc nội thất NISSIN v400</t>
  </si>
  <si>
    <t>Sơn lót chống kiềm, mốc cao cấp ngoài nhà NISSIN v600</t>
  </si>
  <si>
    <r>
      <t xml:space="preserve">Sơn chống thấm  đa  năng trộn  xi măng  NISSIN </t>
    </r>
    <r>
      <rPr>
        <b/>
        <vertAlign val="subscript"/>
        <sz val="10.5"/>
        <color indexed="8"/>
        <rFont val="Times New Roman"/>
        <family val="1"/>
      </rPr>
      <t>NS – 11A</t>
    </r>
  </si>
  <si>
    <r>
      <t xml:space="preserve">Bột bả cao cấp  </t>
    </r>
    <r>
      <rPr>
        <b/>
        <sz val="10.5"/>
        <color indexed="8"/>
        <rFont val="Times New Roman"/>
        <family val="1"/>
      </rPr>
      <t>NISSIN</t>
    </r>
    <r>
      <rPr>
        <sz val="10.5"/>
        <color indexed="8"/>
        <rFont val="Times New Roman"/>
        <family val="1"/>
      </rPr>
      <t xml:space="preserve"> trong nhà</t>
    </r>
  </si>
  <si>
    <r>
      <t xml:space="preserve">Bột bả cao cấp </t>
    </r>
    <r>
      <rPr>
        <b/>
        <sz val="10.5"/>
        <color indexed="8"/>
        <rFont val="Times New Roman"/>
        <family val="1"/>
      </rPr>
      <t xml:space="preserve">NISSIN </t>
    </r>
    <r>
      <rPr>
        <sz val="10.5"/>
        <color indexed="8"/>
        <rFont val="Times New Roman"/>
        <family val="1"/>
      </rPr>
      <t xml:space="preserve"> chống thấm ngoài trời</t>
    </r>
  </si>
  <si>
    <t>24kg</t>
  </si>
  <si>
    <t>20g</t>
  </si>
  <si>
    <t>21kg</t>
  </si>
  <si>
    <t>Sơn Togi</t>
  </si>
  <si>
    <r>
      <t xml:space="preserve">Sơn nội thất mịn trắng, màu TOGI </t>
    </r>
    <r>
      <rPr>
        <b/>
        <vertAlign val="subscript"/>
        <sz val="10.5"/>
        <color indexed="8"/>
        <rFont val="Times New Roman"/>
        <family val="1"/>
      </rPr>
      <t>T100</t>
    </r>
  </si>
  <si>
    <r>
      <t>Sơn nội thất bán bóng cao cấp trắng, màu TOGI</t>
    </r>
    <r>
      <rPr>
        <b/>
        <vertAlign val="subscript"/>
        <sz val="10.5"/>
        <color indexed="8"/>
        <rFont val="Times New Roman"/>
        <family val="1"/>
      </rPr>
      <t xml:space="preserve"> T200</t>
    </r>
  </si>
  <si>
    <t>Sơn siêu trắng nội thất  TOGI T400</t>
  </si>
  <si>
    <t>Sơn ngoại thất cao cấp trắng, màu TOGI T500</t>
  </si>
  <si>
    <t>Sơn lót kháng kiềm, mốc nội thất TOGI T700</t>
  </si>
  <si>
    <t>Sơn lót kháng kiềm cao cấp ngoài nhà TOGI T800</t>
  </si>
  <si>
    <t>Sơn chống thấm đa năng trộn xi măng TOGI CT – 11A</t>
  </si>
  <si>
    <r>
      <t>Bột</t>
    </r>
    <r>
      <rPr>
        <b/>
        <sz val="10.5"/>
        <color indexed="8"/>
        <rFont val="Times New Roman"/>
        <family val="1"/>
      </rPr>
      <t xml:space="preserve"> TOGI super </t>
    </r>
    <r>
      <rPr>
        <sz val="10.5"/>
        <color indexed="8"/>
        <rFont val="Times New Roman"/>
        <family val="1"/>
      </rPr>
      <t>trong nhà cao cấp</t>
    </r>
  </si>
  <si>
    <r>
      <t>Bột</t>
    </r>
    <r>
      <rPr>
        <b/>
        <sz val="10.5"/>
        <color indexed="8"/>
        <rFont val="Times New Roman"/>
        <family val="1"/>
      </rPr>
      <t xml:space="preserve"> TOGI max </t>
    </r>
    <r>
      <rPr>
        <sz val="10.5"/>
        <color indexed="8"/>
        <rFont val="Times New Roman"/>
        <family val="1"/>
      </rPr>
      <t>chống thấm ngoài trời cao cấp</t>
    </r>
  </si>
  <si>
    <t>18k</t>
  </si>
  <si>
    <t>Đất san lấp</t>
  </si>
  <si>
    <t>K90-K95</t>
  </si>
  <si>
    <t>K95</t>
  </si>
  <si>
    <t>K98</t>
  </si>
  <si>
    <t>K95/K98</t>
  </si>
  <si>
    <t>III.1</t>
  </si>
  <si>
    <t>III.2</t>
  </si>
  <si>
    <t>ĐẤT SAN LẤP</t>
  </si>
  <si>
    <t>Công ty cổ phần đầu tư và phát triển Tam San - Địa điểm khai thác: Mỏ đá xã Hải Lệ, thị xã Quảng Trị</t>
  </si>
  <si>
    <t>Công ty cổ phần khoáng sản Quảng Trị - Địa điểm khai thác: Mỏ đá Xã Vĩnh Hòa, huyện Vĩnh Linh</t>
  </si>
  <si>
    <t>Công ty TNHH MTV Lê Đức Thăng - Địa điểm khai thác: Hồ chứa nước Ái Tử, xã Triệu Ái, huyện Triệu Phong</t>
  </si>
  <si>
    <t>Công ty TNHH MTV Toàn Thịnh Quảng Trị - Địa điểm khai thác: Hồ Phú Long (Khe Khế), xã Hải Phú, huyện Hải Lăng</t>
  </si>
  <si>
    <t>Công ty cổ phần xây dựng Nguyên Khang - Địa điểm khai thác: Hồ Dục Đức, xã Vĩnh Sơn, huyện Vĩnh Linh</t>
  </si>
  <si>
    <t>Công ty TNHH Minh Anh - Địa điểm khai thác: Hồ Khe Chanh, Khe Muồn, Tân Sơn 1, Tân Sơn 2 - Xã Hải Chánh, xã Hải Sơn  - huyện Hải Lăng</t>
  </si>
  <si>
    <r>
      <rPr>
        <b/>
        <i/>
        <u val="single"/>
        <sz val="13"/>
        <rFont val="Times New Roman"/>
        <family val="1"/>
      </rPr>
      <t xml:space="preserve">Ghi chú: </t>
    </r>
    <r>
      <rPr>
        <sz val="13"/>
        <rFont val="Times New Roman"/>
        <family val="1"/>
      </rPr>
      <t xml:space="preserve">
</t>
    </r>
    <r>
      <rPr>
        <i/>
        <sz val="13"/>
        <rFont val="Times New Roman"/>
        <family val="1"/>
      </rPr>
      <t xml:space="preserve">- Đơn giá tại địa điểm khai thác: đã bao gồm các loại thuế, phí; chưa bao gồm VAT; đã bao gồm chi phí xúc lên xe.
- Chủ đầu tư và đơn vị tư vấn khi sử dụng thông tin về giá vật liệu để lập và quản lý chi phí đầu tư xây dựng công trình cần căn cứ vào địa điểm của công trình, địa điểm cung cấp vật tư, khối lượng sử dụng vật liệu, mục tiêu đầu tư, tính chất công trình, yêu cầu thiết kế và quy định về quản lý chất lượng công trình để xem xét, lựa chọn loại vật liệu hợp lý và xác định giá vật liệu phù hợp giá thị trường tại thời điểm xác định chi phí, đáp ứng mục tiêu đầu tư, tránh thất thoát, lãng phí, đạt hiệu quả kinh tế cao nhất. </t>
    </r>
  </si>
  <si>
    <t>VIII.1</t>
  </si>
  <si>
    <t>VIII.2</t>
  </si>
  <si>
    <t>VIII.3</t>
  </si>
  <si>
    <t>VIII.4</t>
  </si>
  <si>
    <t>XII.1</t>
  </si>
  <si>
    <t>XII.2</t>
  </si>
  <si>
    <t>TRẦN THẠCH CAO</t>
  </si>
  <si>
    <t>XVIII</t>
  </si>
  <si>
    <t>XIX</t>
  </si>
  <si>
    <t>Đồng hồ đo nước nhãn hiệu Multimag, kiểu đa tia, chống từ, mặt số xoay 360 độ, có thể đo được dòng chảy nhỏ giọt (Xuất xứ Indonesia/hãng Itron)</t>
  </si>
  <si>
    <t>Multimag S cấp C DN15</t>
  </si>
  <si>
    <t>Multimag TMII cấp B DN15</t>
  </si>
  <si>
    <t>Đồng hồ đo nước nhãn hiệu Multimag Cyble kiểu đa tia, chống từ, mặt số xoay 360 độ, đồng hồ có sẵn chân gá tích hợp với Cyble đọc số từ xa, đã kiểm định (xuất xứ: Indonesia/hãng Itron)</t>
  </si>
  <si>
    <t>DN 20 cấp B</t>
  </si>
  <si>
    <t>DN 25 cấp B</t>
  </si>
  <si>
    <t>DN 30 cấp B</t>
  </si>
  <si>
    <t>DN 40 cấp B</t>
  </si>
  <si>
    <t>Đồng hồ đo nước tuabin, chống từ, mặt số xoay 360 độ, đồng hồ có thể đo được dòng chảy nhỏ giọt - Nhãn hiệu Unimag + DN15mm, R100, cấp 2 (cấp B) đơn tia, có sẵn chân gá tích hợp với Cyble đọc số từ xa, đã kiểm định (xuất xứ: Italia/hãng Itron)</t>
  </si>
  <si>
    <t>Đồng hồ đo nước cấp C, kiểu Piston, không bị ảnh hưởng bởi từ trường, đồng hồ có thể đo được dòng chảy nhỏ giọt, ngưỡng độ nhạy 2 lít/h - Nhãn hiệu Hiệu Aquadis + DN15mm R160 cấp 2 (cấp C), piston,
 loại thể tích, có sẵn chân gá tích hợp với Cyble đọc số từ xa, đã kiểm định (xuất xứ: Indonesia/hãng Itron)</t>
  </si>
  <si>
    <t>Hiệu Woltex DN50, cấp 2 R100, xuất xứ EU/hãng Itron</t>
  </si>
  <si>
    <t>Hiệu Woltex DN65, cấp 2 R100, xuất xứ  EU/hãng Itron</t>
  </si>
  <si>
    <t>Nhựa đường Polime PMB3 - Xá</t>
  </si>
  <si>
    <t>Hào kỹ thuật BTCT 2 ngăn  thành mỏng đúc sẵn – Vỉa hè; Kt: B200x200-H300-L2000mm</t>
  </si>
  <si>
    <t>Hào kỹ thuật BTCT 2 ngăn  thành mỏng đúc sẵn – Lòng đường; Kt: B200x200-H300-L2000mm</t>
  </si>
  <si>
    <t>Gạch Tuynel Linh Đơn - Công ty CP Minh Hưng Quảng Trị - Giá tại Địa chỉ: Thôn Đơn Duệ, xã Vĩnh Hòa, huyện Vĩnh Linh</t>
  </si>
  <si>
    <t>Đá thảm 1x1,9 (Dmax 1,9cm)</t>
  </si>
  <si>
    <t>Đá thảm 1 x 2 (Dmax 2,5 cm)</t>
  </si>
  <si>
    <t>10x19(Dmax 19)</t>
  </si>
  <si>
    <t>10x25 (Dmax25)</t>
  </si>
  <si>
    <t>Đá 0 - 5 (mm)</t>
  </si>
  <si>
    <t>Đá 5 - 10 (mm)</t>
  </si>
  <si>
    <t>Ngói màu cao cấp loại 10 viên/m2</t>
  </si>
  <si>
    <t>Ngói màu loại 9 viên/m2</t>
  </si>
  <si>
    <t>Ngói màu sóng thẳng 9 viên/m2</t>
  </si>
  <si>
    <t>Ngói màu loại 10 viên/m2</t>
  </si>
  <si>
    <t>Xi măng Long Sơn PCB40</t>
  </si>
  <si>
    <t>Xi măng Long Sơn PCB30</t>
  </si>
  <si>
    <t>Xi măng Hà Trung PCB30</t>
  </si>
  <si>
    <t>Đơn vị phân phối Công ty TNHH MTV Phú Hoàng Phương - Địa chỉ: 164 Lý Thường Kiệt, Phường 5, thành phố Đông Hà - Giá bán tại chân công trình trên địa bàn tỉnh</t>
  </si>
  <si>
    <t>22kg</t>
  </si>
  <si>
    <t>Công ty cổ phần TNG Power - Giá bán tại chân công trình</t>
  </si>
  <si>
    <t>Công ty cổ phần Aluminum Quảng Bình - Địa chỉ số 605 Lý Thường Kiệt, phường Bắc Lý, thành phố Đồng Hới, tỉnh Quảng Bình - Giá bao gồm công lắp dựng hoàn thiện</t>
  </si>
  <si>
    <t>Cửa sổ mở trượt</t>
  </si>
  <si>
    <t>Cửa sổ mở quay 1 cánh hoặc mở lật</t>
  </si>
  <si>
    <t>Cửa sổ mở quay 2 cánh</t>
  </si>
  <si>
    <t>Cửa đi mở trượt</t>
  </si>
  <si>
    <t>Cửa đi mở quay 1 cánh</t>
  </si>
  <si>
    <t>Cửa đi mở quay 2 cánh hoặc 4 cánh</t>
  </si>
  <si>
    <t xml:space="preserve">Thanh profile nhôm Huyndai hệ HD55 (cửa đi, cửa sổ), HD93 (cửa đi, cửa trượt); dày 1,4mm (cửa sổ) và 2,0mm(cửa đi); Kính an toàn dày 6,38mm hoặc kính cường lực 8mm; Phụ kiện Kinlong hoặc Huy Hoàng; </t>
  </si>
  <si>
    <t>Sơn mịn nội thất cao cấp KG6.2 - Kalong - In Fami</t>
  </si>
  <si>
    <t>Sơn nội thất cao cấp KG6.1 - Kalong - Classic</t>
  </si>
  <si>
    <t>Sơn siêu trắng trần KGST - Kalong super white</t>
  </si>
  <si>
    <t>Sơn mịn ngoại thất cao cấp KG6.4 - Kalong - Gold Ext</t>
  </si>
  <si>
    <t>Sơn lót kháng kiềm ngoại thất KG6.6NG - Kalong - Primer Ext</t>
  </si>
  <si>
    <t>Sơn lót kháng kiềm nội thất KG6.6NO - Kalong - Primer int</t>
  </si>
  <si>
    <t>Sơn chống thấm đa năng KG6.7 - Kalong - Waterproof CT07</t>
  </si>
  <si>
    <t xml:space="preserve">(60x60cm) granite : SH-GP nhạt </t>
  </si>
  <si>
    <t>(60x60cm) granite :TS nhạt</t>
  </si>
  <si>
    <t>(60x60cm) granite :TS đậm</t>
  </si>
  <si>
    <t>(80x80cm) granite :TS5 nhạt</t>
  </si>
  <si>
    <t>(80x80cm) granite :TS5 đậm</t>
  </si>
  <si>
    <t>(60x60cm) granite : men matt</t>
  </si>
  <si>
    <t>Gạch VIDECOR</t>
  </si>
  <si>
    <t xml:space="preserve">(30*60cm) ceramic ốp tường </t>
  </si>
  <si>
    <t>(60*60cm) ceramic lát nền</t>
  </si>
  <si>
    <t>(60*60cm) Porcelain nhạt</t>
  </si>
  <si>
    <t>(60*60cm) Porcelain đậm</t>
  </si>
  <si>
    <t>(80*80cm) Porcelain nhạt</t>
  </si>
  <si>
    <t>(80*80cm) Porcelain đậm</t>
  </si>
  <si>
    <t>Gạch Apodio</t>
  </si>
  <si>
    <t>(30*30) ceramic men thường</t>
  </si>
  <si>
    <t>(30*30) ceramic men sugar</t>
  </si>
  <si>
    <t>Gạch Cepolain</t>
  </si>
  <si>
    <t>(60*60) ceramic màu nhạt</t>
  </si>
  <si>
    <t>(60*60) ceramic màu đậm</t>
  </si>
  <si>
    <t>600*600</t>
  </si>
  <si>
    <t>300*300</t>
  </si>
  <si>
    <t>Sơn Kalong</t>
  </si>
  <si>
    <t>Granite men bóng</t>
  </si>
  <si>
    <t>Granite men matt</t>
  </si>
  <si>
    <t>Porcelain</t>
  </si>
  <si>
    <t>Granite màu nhạt</t>
  </si>
  <si>
    <t>Granite màu đậm</t>
  </si>
  <si>
    <r>
      <t xml:space="preserve">BẢNG GIÁ VẬT LIỆU THÁNG 3 NĂM 2023 TRÊN ĐỊA BÀN TỈNH QUẢNG TRỊ
</t>
    </r>
    <r>
      <rPr>
        <i/>
        <sz val="13"/>
        <rFont val="Times New Roman"/>
        <family val="1"/>
      </rPr>
      <t>(Ban hành kèm theo Công bố số:     /CB - SXD ngày      /      /2023 của Sở Xây dựng)</t>
    </r>
  </si>
  <si>
    <t>Cty TNHH nhựa đường Petrolimex - Giá báo tại nhà máy Thọ Quang - Đà Nẵng theo Văn bản số 139/CV-PLC.NĐ-TTPC ngày 16/3/2023</t>
  </si>
  <si>
    <t>Nhựa nhũ tương CRS-1 - Phuy</t>
  </si>
  <si>
    <t>Nhựa nhũ tương CRS-1 - Xá</t>
  </si>
  <si>
    <t>BG đến tháng 6/2023</t>
  </si>
  <si>
    <t>Bột trét Homecote nội - ngoại</t>
  </si>
  <si>
    <t>Công ty cổ phần xi măng Sông Gianh - Giá bán tại chân công trình</t>
  </si>
  <si>
    <t>Sơn nội thất siêu trắng trong nhà VS116 (23kg)</t>
  </si>
  <si>
    <t>Sơn ngoại thất bóng mờ BS313 (20kg)</t>
  </si>
  <si>
    <t>Sơn lót chống kiềm nội thất CK241 (22kg)</t>
  </si>
  <si>
    <t>Sơn lót chống kiềm ngoại thất CK242 (20kg)</t>
  </si>
  <si>
    <t>Chất chống thấm đa năng trộn xi măng DS600 (20kg)</t>
  </si>
  <si>
    <t>Bột bả trong nhà A100 (40kg)</t>
  </si>
  <si>
    <t>Bột bả chống thấm cao cấp ngoài trời A300 (40kg)</t>
  </si>
  <si>
    <t>Sơn Jymec</t>
  </si>
  <si>
    <t>Sơn lót chống kiềm nội thất</t>
  </si>
  <si>
    <t>Sơn lót chống kiềm ngoại thất cao cấp</t>
  </si>
  <si>
    <t>Sơn nội thất cao cấp dễ lau chùi</t>
  </si>
  <si>
    <t>Sơn nước siêu trắng nội thất cao cấp</t>
  </si>
  <si>
    <t>Công ty cổ phần sơn Jymec Việt Nam - Giá bán tại chân công trình</t>
  </si>
  <si>
    <t>Sơn nước nội thất 3in1</t>
  </si>
  <si>
    <t>Sơn nước ngoại thất</t>
  </si>
  <si>
    <t>Sơn chống thấm đa năng</t>
  </si>
  <si>
    <t>Bột bả nội - ngoại thất cao cấp</t>
  </si>
  <si>
    <t>Sơn Falcon</t>
  </si>
  <si>
    <t>Công ty TNHH MTV Vista - Giá bán tại chân công trình trên địa bàn trung tâm thành phố Đông Hà</t>
  </si>
  <si>
    <t>Thép Việt Mỹ</t>
  </si>
  <si>
    <t>Công ty cổ phần tập đoàn thép Việt Đức - Giá tại công trình trên địa bàn tỉnh Quảng Trị</t>
  </si>
  <si>
    <t>Thép Việt Đức</t>
  </si>
  <si>
    <t>Thép cuộn d6, d8</t>
  </si>
  <si>
    <t>Thép thanh vằn d10, CB300-V</t>
  </si>
  <si>
    <t>d6, d8 CB240-T</t>
  </si>
  <si>
    <t>d10, CB300-V</t>
  </si>
  <si>
    <t>Thép thanh vằn d12, CB300-V</t>
  </si>
  <si>
    <t>d12, CB300-V</t>
  </si>
  <si>
    <t>Thép thanh vằn d14-32, CB300-V</t>
  </si>
  <si>
    <t>d14-32, CB300-V</t>
  </si>
  <si>
    <t>d10, CB400-V, CB500-V</t>
  </si>
  <si>
    <t>d12, CB400-V, CB500-V</t>
  </si>
  <si>
    <t>d14-32, CB400-V, CB500-V</t>
  </si>
  <si>
    <t>Thép thanh vằn d10, CB400-V; CB500-V</t>
  </si>
  <si>
    <t>Thép thanh vằn d12, CB400-V; CB500-V</t>
  </si>
  <si>
    <t>Thép thanh vằn d14-32, CB400-V; CB500-V</t>
  </si>
  <si>
    <t>FALCON INT&amp;EXT SPECIAL PRIMER (Sơn lót nội ngoại thất chống kiềm cao cấp)</t>
  </si>
  <si>
    <t>FALCON INT GREEN (Sơn phủ nội thất màu tiêu chuẩn và siêu trắng)</t>
  </si>
  <si>
    <t>FALCON INT EASY CLEAN (Sơn phủ nội thất lau chùi hiệu quả)</t>
  </si>
  <si>
    <t>FALCON EXT GREEN (Sơn phủ ngoại thất chống rêu nấm mốc)</t>
  </si>
  <si>
    <t>FALCON WATERPROOF POLYMER 2X (Chống thấm tường, sàn bê tông)</t>
  </si>
  <si>
    <t>FALCON INT &amp; EXT PUTTY (Bột bả nội - ngoại thất cao cấp)</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</si>
</sst>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Yes&quot;;&quot;Yes&quot;;&quot;No&quot;"/>
    <numFmt numFmtId="173" formatCode="&quot;True&quot;;&quot;True&quot;;&quot;False&quot;"/>
    <numFmt numFmtId="174" formatCode="&quot;On&quot;;&quot;On&quot;;&quot;Off&quot;"/>
    <numFmt numFmtId="175" formatCode="[$€-2]\ #,##0.00_);[Red]\([$€-2]\ #,##0.00\)"/>
    <numFmt numFmtId="176" formatCode="_(* #,##0_);_(* \(#,##0\);_(* &quot;-&quot;??_);_(@_)"/>
    <numFmt numFmtId="177" formatCode="#,##0;[Red]#,##0"/>
    <numFmt numFmtId="178" formatCode="\$#,##0\ ;\(\$#,##0\)"/>
    <numFmt numFmtId="179" formatCode="General_)"/>
    <numFmt numFmtId="180" formatCode="_-* #,##0\ _₫_-;\-* #,##0\ _₫_-;_-* &quot;-&quot;??\ _₫_-;_-@_-"/>
    <numFmt numFmtId="181" formatCode="_-* #,##0_-;\-* #,##0_-;_-* &quot;-&quot;??_-;_-@_-"/>
    <numFmt numFmtId="182" formatCode="_-* #,##0.0\ _₫_-;\-* #,##0.0\ _₫_-;_-* &quot;-&quot;??\ _₫_-;_-@_-"/>
    <numFmt numFmtId="183" formatCode="0.0%"/>
    <numFmt numFmtId="184" formatCode="_-* #,##0.000\ _₫_-;\-* #,##0.000\ _₫_-;_-* &quot;-&quot;??\ _₫_-;_-@_-"/>
    <numFmt numFmtId="185" formatCode="_-* #,##0.0000\ _₫_-;\-* #,##0.0000\ _₫_-;_-* &quot;-&quot;??\ _₫_-;_-@_-"/>
    <numFmt numFmtId="186" formatCode="_-* #,##0.00000\ _₫_-;\-* #,##0.00000\ _₫_-;_-* &quot;-&quot;??\ _₫_-;_-@_-"/>
    <numFmt numFmtId="187" formatCode="#,##0.0"/>
    <numFmt numFmtId="188" formatCode="0.0"/>
    <numFmt numFmtId="189" formatCode="_(* #,##0.00_);_(* \(#,##0.00\);_(* &quot;-&quot;&quot;?&quot;&quot;?&quot;_);_(@_)"/>
  </numFmts>
  <fonts count="112">
    <font>
      <sz val="11"/>
      <color theme="1"/>
      <name val="Calibri"/>
      <family val="2"/>
    </font>
    <font>
      <sz val="11"/>
      <color indexed="8"/>
      <name val="Arial"/>
      <family val="2"/>
    </font>
    <font>
      <sz val="10"/>
      <name val="Arial"/>
      <family val="2"/>
    </font>
    <font>
      <sz val="11"/>
      <color indexed="8"/>
      <name val="Calibri"/>
      <family val="2"/>
    </font>
    <font>
      <sz val="12"/>
      <color indexed="8"/>
      <name val="Times New Roman"/>
      <family val="2"/>
    </font>
    <font>
      <sz val="12"/>
      <name val="¹UAAA¼"/>
      <family val="3"/>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sz val="12"/>
      <name val="VNI-Times"/>
      <family val="0"/>
    </font>
    <font>
      <sz val="11"/>
      <color indexed="8"/>
      <name val="Times New Roman"/>
      <family val="2"/>
    </font>
    <font>
      <sz val="11"/>
      <name val="Times New Roman"/>
      <family val="1"/>
    </font>
    <font>
      <b/>
      <u val="single"/>
      <sz val="13"/>
      <color indexed="8"/>
      <name val="Times New Roman"/>
      <family val="1"/>
    </font>
    <font>
      <sz val="8"/>
      <name val="Calibri"/>
      <family val="2"/>
    </font>
    <font>
      <b/>
      <sz val="9"/>
      <name val="Tahoma"/>
      <family val="2"/>
    </font>
    <font>
      <sz val="9"/>
      <name val="Tahoma"/>
      <family val="2"/>
    </font>
    <font>
      <sz val="13"/>
      <name val="Times New Roman"/>
      <family val="1"/>
    </font>
    <font>
      <b/>
      <sz val="13"/>
      <name val="Times New Roman"/>
      <family val="1"/>
    </font>
    <font>
      <b/>
      <i/>
      <sz val="13"/>
      <name val="Times New Roman"/>
      <family val="1"/>
    </font>
    <font>
      <i/>
      <sz val="13"/>
      <name val="Times New Roman"/>
      <family val="1"/>
    </font>
    <font>
      <vertAlign val="superscript"/>
      <sz val="13"/>
      <name val="Times New Roman"/>
      <family val="1"/>
    </font>
    <font>
      <sz val="12"/>
      <name val="Times New Roman"/>
      <family val="1"/>
    </font>
    <font>
      <sz val="13"/>
      <name val="Calibri"/>
      <family val="2"/>
    </font>
    <font>
      <sz val="13"/>
      <color indexed="10"/>
      <name val="Calibri"/>
      <family val="2"/>
    </font>
    <font>
      <sz val="13"/>
      <color indexed="8"/>
      <name val="Times New Roman"/>
      <family val="1"/>
    </font>
    <font>
      <b/>
      <sz val="13"/>
      <color indexed="8"/>
      <name val="Times New Roman"/>
      <family val="1"/>
    </font>
    <font>
      <i/>
      <sz val="13"/>
      <color indexed="8"/>
      <name val="Times New Roman"/>
      <family val="1"/>
    </font>
    <font>
      <b/>
      <i/>
      <sz val="13"/>
      <color indexed="8"/>
      <name val="Times New Roman"/>
      <family val="1"/>
    </font>
    <font>
      <sz val="13"/>
      <color indexed="8"/>
      <name val="Symbol"/>
      <family val="1"/>
    </font>
    <font>
      <vertAlign val="superscript"/>
      <sz val="13"/>
      <color indexed="8"/>
      <name val="Times New Roman"/>
      <family val="1"/>
    </font>
    <font>
      <b/>
      <sz val="10"/>
      <color indexed="8"/>
      <name val="Times New Roman"/>
      <family val="1"/>
    </font>
    <font>
      <sz val="10"/>
      <color indexed="8"/>
      <name val="Times New Roman"/>
      <family val="1"/>
    </font>
    <font>
      <b/>
      <vertAlign val="subscript"/>
      <sz val="10"/>
      <color indexed="8"/>
      <name val="Times New Roman"/>
      <family val="1"/>
    </font>
    <font>
      <b/>
      <sz val="10.5"/>
      <color indexed="8"/>
      <name val="Times New Roman"/>
      <family val="1"/>
    </font>
    <font>
      <b/>
      <vertAlign val="subscript"/>
      <sz val="10.5"/>
      <color indexed="8"/>
      <name val="Times New Roman"/>
      <family val="1"/>
    </font>
    <font>
      <sz val="10.5"/>
      <color indexed="8"/>
      <name val="Times New Roman"/>
      <family val="1"/>
    </font>
    <font>
      <b/>
      <i/>
      <u val="single"/>
      <sz val="13"/>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5"/>
      <color indexed="62"/>
      <name val="Calibri"/>
      <family val="2"/>
    </font>
    <font>
      <b/>
      <sz val="13"/>
      <color indexed="56"/>
      <name val="Calibri"/>
      <family val="2"/>
    </font>
    <font>
      <b/>
      <sz val="13"/>
      <color indexed="62"/>
      <name val="Calibri"/>
      <family val="2"/>
    </font>
    <font>
      <b/>
      <sz val="11"/>
      <color indexed="56"/>
      <name val="Calibri"/>
      <family val="2"/>
    </font>
    <font>
      <b/>
      <sz val="11"/>
      <color indexed="62"/>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sz val="10"/>
      <color indexed="8"/>
      <name val="Arial"/>
      <family val="2"/>
    </font>
    <font>
      <b/>
      <sz val="11"/>
      <color indexed="63"/>
      <name val="Calibri"/>
      <family val="2"/>
    </font>
    <font>
      <b/>
      <sz val="18"/>
      <color indexed="56"/>
      <name val="Cambria"/>
      <family val="2"/>
    </font>
    <font>
      <b/>
      <sz val="18"/>
      <color indexed="62"/>
      <name val="Cambria"/>
      <family val="2"/>
    </font>
    <font>
      <b/>
      <sz val="11"/>
      <color indexed="8"/>
      <name val="Calibri"/>
      <family val="2"/>
    </font>
    <font>
      <sz val="11"/>
      <color indexed="10"/>
      <name val="Calibri"/>
      <family val="2"/>
    </font>
    <font>
      <sz val="13"/>
      <color indexed="8"/>
      <name val="Calibri"/>
      <family val="2"/>
    </font>
    <font>
      <sz val="14"/>
      <color indexed="8"/>
      <name val="Times New Roman"/>
      <family val="1"/>
    </font>
    <font>
      <sz val="11"/>
      <color rgb="FF000000"/>
      <name val="Calibri"/>
      <family val="2"/>
    </font>
    <font>
      <sz val="11"/>
      <color theme="0"/>
      <name val="Calibri"/>
      <family val="2"/>
    </font>
    <font>
      <sz val="11"/>
      <color rgb="FFFFFFFF"/>
      <name val="Calibri"/>
      <family val="2"/>
    </font>
    <font>
      <sz val="11"/>
      <color rgb="FF9C0006"/>
      <name val="Calibri"/>
      <family val="2"/>
    </font>
    <font>
      <b/>
      <sz val="11"/>
      <color rgb="FFFA7D00"/>
      <name val="Calibri"/>
      <family val="2"/>
    </font>
    <font>
      <b/>
      <sz val="11"/>
      <color theme="0"/>
      <name val="Calibri"/>
      <family val="2"/>
    </font>
    <font>
      <b/>
      <sz val="11"/>
      <color rgb="FFFFFFFF"/>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5"/>
      <color rgb="FF1F4A7E"/>
      <name val="Calibri"/>
      <family val="2"/>
    </font>
    <font>
      <b/>
      <sz val="13"/>
      <color theme="3"/>
      <name val="Calibri"/>
      <family val="2"/>
    </font>
    <font>
      <b/>
      <sz val="13"/>
      <color rgb="FF1F4A7E"/>
      <name val="Calibri"/>
      <family val="2"/>
    </font>
    <font>
      <b/>
      <sz val="11"/>
      <color theme="3"/>
      <name val="Calibri"/>
      <family val="2"/>
    </font>
    <font>
      <b/>
      <sz val="11"/>
      <color rgb="FF1F4A7E"/>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sz val="11"/>
      <color rgb="FF000000"/>
      <name val="Times New Roman"/>
      <family val="2"/>
    </font>
    <font>
      <sz val="11"/>
      <color theme="1"/>
      <name val="Arial"/>
      <family val="2"/>
    </font>
    <font>
      <sz val="12"/>
      <color theme="1"/>
      <name val="Times New Roman"/>
      <family val="2"/>
    </font>
    <font>
      <sz val="10"/>
      <color rgb="FF000000"/>
      <name val="Arial"/>
      <family val="2"/>
    </font>
    <font>
      <b/>
      <sz val="11"/>
      <color rgb="FF3F3F3F"/>
      <name val="Calibri"/>
      <family val="2"/>
    </font>
    <font>
      <b/>
      <sz val="18"/>
      <color theme="3"/>
      <name val="Cambria"/>
      <family val="2"/>
    </font>
    <font>
      <b/>
      <sz val="18"/>
      <color rgb="FF1F4A7E"/>
      <name val="Cambria"/>
      <family val="2"/>
    </font>
    <font>
      <b/>
      <sz val="11"/>
      <color theme="1"/>
      <name val="Calibri"/>
      <family val="2"/>
    </font>
    <font>
      <b/>
      <sz val="11"/>
      <color rgb="FF000000"/>
      <name val="Calibri"/>
      <family val="2"/>
    </font>
    <font>
      <sz val="11"/>
      <color rgb="FFFF0000"/>
      <name val="Calibri"/>
      <family val="2"/>
    </font>
    <font>
      <sz val="13"/>
      <color theme="1"/>
      <name val="Calibri"/>
      <family val="2"/>
    </font>
    <font>
      <b/>
      <i/>
      <sz val="13"/>
      <color rgb="FF000000"/>
      <name val="Times New Roman"/>
      <family val="1"/>
    </font>
    <font>
      <i/>
      <sz val="13"/>
      <color rgb="FF000000"/>
      <name val="Times New Roman"/>
      <family val="1"/>
    </font>
    <font>
      <sz val="13"/>
      <color rgb="FF000000"/>
      <name val="Times New Roman"/>
      <family val="1"/>
    </font>
    <font>
      <sz val="13"/>
      <color theme="1"/>
      <name val="Times New Roman"/>
      <family val="1"/>
    </font>
    <font>
      <sz val="14"/>
      <color theme="1"/>
      <name val="Times New Roman"/>
      <family val="1"/>
    </font>
    <font>
      <b/>
      <sz val="8"/>
      <name val="Calibri"/>
      <family val="2"/>
    </font>
  </fonts>
  <fills count="78">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rgb="FFDCE5F1"/>
        <bgColor indexed="64"/>
      </patternFill>
    </fill>
    <fill>
      <patternFill patternType="solid">
        <fgColor theme="5" tint="0.7999799847602844"/>
        <bgColor indexed="64"/>
      </patternFill>
    </fill>
    <fill>
      <patternFill patternType="solid">
        <fgColor indexed="45"/>
        <bgColor indexed="64"/>
      </patternFill>
    </fill>
    <fill>
      <patternFill patternType="solid">
        <fgColor indexed="47"/>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rgb="FFE5DFEC"/>
        <bgColor indexed="64"/>
      </patternFill>
    </fill>
    <fill>
      <patternFill patternType="solid">
        <fgColor theme="8" tint="0.7999799847602844"/>
        <bgColor indexed="64"/>
      </patternFill>
    </fill>
    <fill>
      <patternFill patternType="solid">
        <fgColor indexed="27"/>
        <bgColor indexed="64"/>
      </patternFill>
    </fill>
    <fill>
      <patternFill patternType="solid">
        <fgColor rgb="FFDBEEF3"/>
        <bgColor indexed="64"/>
      </patternFill>
    </fill>
    <fill>
      <patternFill patternType="solid">
        <fgColor theme="9" tint="0.7999799847602844"/>
        <bgColor indexed="64"/>
      </patternFill>
    </fill>
    <fill>
      <patternFill patternType="solid">
        <fgColor rgb="FFFDE9D9"/>
        <bgColor indexed="64"/>
      </patternFill>
    </fill>
    <fill>
      <patternFill patternType="solid">
        <fgColor theme="4" tint="0.5999900102615356"/>
        <bgColor indexed="64"/>
      </patternFill>
    </fill>
    <fill>
      <patternFill patternType="solid">
        <fgColor indexed="44"/>
        <bgColor indexed="64"/>
      </patternFill>
    </fill>
    <fill>
      <patternFill patternType="solid">
        <fgColor rgb="FFB8CBE4"/>
        <bgColor indexed="64"/>
      </patternFill>
    </fill>
    <fill>
      <patternFill patternType="solid">
        <fgColor theme="5" tint="0.5999900102615356"/>
        <bgColor indexed="64"/>
      </patternFill>
    </fill>
    <fill>
      <patternFill patternType="solid">
        <fgColor indexed="29"/>
        <bgColor indexed="64"/>
      </patternFill>
    </fill>
    <fill>
      <patternFill patternType="solid">
        <fgColor rgb="FFE5B8B6"/>
        <bgColor indexed="64"/>
      </patternFill>
    </fill>
    <fill>
      <patternFill patternType="solid">
        <fgColor theme="6" tint="0.5999900102615356"/>
        <bgColor indexed="64"/>
      </patternFill>
    </fill>
    <fill>
      <patternFill patternType="solid">
        <fgColor indexed="11"/>
        <bgColor indexed="64"/>
      </patternFill>
    </fill>
    <fill>
      <patternFill patternType="solid">
        <fgColor rgb="FFD5E3BB"/>
        <bgColor indexed="64"/>
      </patternFill>
    </fill>
    <fill>
      <patternFill patternType="solid">
        <fgColor theme="7" tint="0.5999900102615356"/>
        <bgColor indexed="64"/>
      </patternFill>
    </fill>
    <fill>
      <patternFill patternType="solid">
        <fgColor rgb="FFCABFD8"/>
        <bgColor indexed="64"/>
      </patternFill>
    </fill>
    <fill>
      <patternFill patternType="solid">
        <fgColor theme="8" tint="0.5999900102615356"/>
        <bgColor indexed="64"/>
      </patternFill>
    </fill>
    <fill>
      <patternFill patternType="solid">
        <fgColor rgb="FFB6DDE8"/>
        <bgColor indexed="64"/>
      </patternFill>
    </fill>
    <fill>
      <patternFill patternType="solid">
        <fgColor theme="9" tint="0.5999900102615356"/>
        <bgColor indexed="64"/>
      </patternFill>
    </fill>
    <fill>
      <patternFill patternType="solid">
        <fgColor indexed="51"/>
        <bgColor indexed="64"/>
      </patternFill>
    </fill>
    <fill>
      <patternFill patternType="solid">
        <fgColor rgb="FFFBD3B3"/>
        <bgColor indexed="64"/>
      </patternFill>
    </fill>
    <fill>
      <patternFill patternType="solid">
        <fgColor theme="4" tint="0.39998000860214233"/>
        <bgColor indexed="64"/>
      </patternFill>
    </fill>
    <fill>
      <patternFill patternType="solid">
        <fgColor indexed="30"/>
        <bgColor indexed="64"/>
      </patternFill>
    </fill>
    <fill>
      <patternFill patternType="solid">
        <fgColor rgb="FF96B3D7"/>
        <bgColor indexed="64"/>
      </patternFill>
    </fill>
    <fill>
      <patternFill patternType="solid">
        <fgColor theme="5" tint="0.39998000860214233"/>
        <bgColor indexed="64"/>
      </patternFill>
    </fill>
    <fill>
      <patternFill patternType="solid">
        <fgColor rgb="FFD99694"/>
        <bgColor indexed="64"/>
      </patternFill>
    </fill>
    <fill>
      <patternFill patternType="solid">
        <fgColor theme="6" tint="0.39998000860214233"/>
        <bgColor indexed="64"/>
      </patternFill>
    </fill>
    <fill>
      <patternFill patternType="solid">
        <fgColor rgb="FFC2D69B"/>
        <bgColor indexed="64"/>
      </patternFill>
    </fill>
    <fill>
      <patternFill patternType="solid">
        <fgColor theme="7" tint="0.39998000860214233"/>
        <bgColor indexed="64"/>
      </patternFill>
    </fill>
    <fill>
      <patternFill patternType="solid">
        <fgColor indexed="36"/>
        <bgColor indexed="64"/>
      </patternFill>
    </fill>
    <fill>
      <patternFill patternType="solid">
        <fgColor rgb="FFB2A1C6"/>
        <bgColor indexed="64"/>
      </patternFill>
    </fill>
    <fill>
      <patternFill patternType="solid">
        <fgColor theme="8" tint="0.39998000860214233"/>
        <bgColor indexed="64"/>
      </patternFill>
    </fill>
    <fill>
      <patternFill patternType="solid">
        <fgColor indexed="49"/>
        <bgColor indexed="64"/>
      </patternFill>
    </fill>
    <fill>
      <patternFill patternType="solid">
        <fgColor rgb="FF94CDDD"/>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rgb="FF5181BD"/>
        <bgColor indexed="64"/>
      </patternFill>
    </fill>
    <fill>
      <patternFill patternType="solid">
        <fgColor theme="5"/>
        <bgColor indexed="64"/>
      </patternFill>
    </fill>
    <fill>
      <patternFill patternType="solid">
        <fgColor indexed="10"/>
        <bgColor indexed="64"/>
      </patternFill>
    </fill>
    <fill>
      <patternFill patternType="solid">
        <fgColor rgb="FFC0514D"/>
        <bgColor indexed="64"/>
      </patternFill>
    </fill>
    <fill>
      <patternFill patternType="solid">
        <fgColor theme="6"/>
        <bgColor indexed="64"/>
      </patternFill>
    </fill>
    <fill>
      <patternFill patternType="solid">
        <fgColor indexed="57"/>
        <bgColor indexed="64"/>
      </patternFill>
    </fill>
    <fill>
      <patternFill patternType="solid">
        <fgColor rgb="FF9ABA58"/>
        <bgColor indexed="64"/>
      </patternFill>
    </fill>
    <fill>
      <patternFill patternType="solid">
        <fgColor theme="7"/>
        <bgColor indexed="64"/>
      </patternFill>
    </fill>
    <fill>
      <patternFill patternType="solid">
        <fgColor rgb="FF7E62A1"/>
        <bgColor indexed="64"/>
      </patternFill>
    </fill>
    <fill>
      <patternFill patternType="solid">
        <fgColor theme="8"/>
        <bgColor indexed="64"/>
      </patternFill>
    </fill>
    <fill>
      <patternFill patternType="solid">
        <fgColor rgb="FF4CACC6"/>
        <bgColor indexed="64"/>
      </patternFill>
    </fill>
    <fill>
      <patternFill patternType="solid">
        <fgColor theme="9"/>
        <bgColor indexed="64"/>
      </patternFill>
    </fill>
    <fill>
      <patternFill patternType="solid">
        <fgColor indexed="53"/>
        <bgColor indexed="64"/>
      </patternFill>
    </fill>
    <fill>
      <patternFill patternType="solid">
        <fgColor rgb="FFF79544"/>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13"/>
        <bgColor indexed="64"/>
      </patternFill>
    </fill>
    <fill>
      <patternFill patternType="solid">
        <fgColor rgb="FFFFFF00"/>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rgb="FF5181BD"/>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thick">
        <color rgb="FFA6BFDD"/>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medium">
        <color rgb="FF96B3D7"/>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color indexed="63"/>
      </left>
      <right>
        <color indexed="63"/>
      </right>
      <top style="thin">
        <color rgb="FF5181BD"/>
      </top>
      <bottom style="double">
        <color rgb="FF5181BD"/>
      </bottom>
    </border>
    <border>
      <left style="thin"/>
      <right style="thin"/>
      <top style="thin"/>
      <bottom style="thin"/>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right/>
      <top style="thin"/>
      <bottom style="thin"/>
    </border>
    <border>
      <left style="thin"/>
      <right style="thin"/>
      <top>
        <color indexed="63"/>
      </top>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style="thin"/>
      <right style="medium"/>
      <top style="thin"/>
      <bottom>
        <color indexed="63"/>
      </bottom>
    </border>
    <border>
      <left style="thin"/>
      <right style="medium"/>
      <top>
        <color indexed="63"/>
      </top>
      <bottom>
        <color indexed="63"/>
      </bottom>
    </border>
    <border>
      <left style="thin"/>
      <right style="medium"/>
      <top>
        <color indexed="63"/>
      </top>
      <bottom style="thin"/>
    </border>
  </borders>
  <cellStyleXfs count="203">
    <xf numFmtId="0" fontId="0" fillId="0" borderId="0">
      <alignment/>
      <protection/>
    </xf>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0" fillId="2" borderId="0" applyNumberFormat="0" applyBorder="0" applyAlignment="0" applyProtection="0"/>
    <xf numFmtId="0" fontId="1" fillId="3" borderId="0" applyNumberFormat="0" applyBorder="0" applyAlignment="0" applyProtection="0"/>
    <xf numFmtId="0" fontId="75" fillId="4" borderId="0" applyNumberFormat="0" applyBorder="0" applyAlignment="0" applyProtection="0"/>
    <xf numFmtId="0" fontId="0" fillId="5" borderId="0" applyNumberFormat="0" applyBorder="0" applyAlignment="0" applyProtection="0"/>
    <xf numFmtId="0" fontId="1" fillId="6" borderId="0" applyNumberFormat="0" applyBorder="0" applyAlignment="0" applyProtection="0"/>
    <xf numFmtId="0" fontId="75"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75" fillId="9"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75" fillId="12" borderId="0" applyNumberFormat="0" applyBorder="0" applyAlignment="0" applyProtection="0"/>
    <xf numFmtId="0" fontId="0" fillId="13" borderId="0" applyNumberFormat="0" applyBorder="0" applyAlignment="0" applyProtection="0"/>
    <xf numFmtId="0" fontId="1" fillId="14" borderId="0" applyNumberFormat="0" applyBorder="0" applyAlignment="0" applyProtection="0"/>
    <xf numFmtId="0" fontId="75" fillId="15" borderId="0" applyNumberFormat="0" applyBorder="0" applyAlignment="0" applyProtection="0"/>
    <xf numFmtId="0" fontId="0" fillId="16" borderId="0" applyNumberFormat="0" applyBorder="0" applyAlignment="0" applyProtection="0"/>
    <xf numFmtId="0" fontId="1" fillId="7" borderId="0" applyNumberFormat="0" applyBorder="0" applyAlignment="0" applyProtection="0"/>
    <xf numFmtId="0" fontId="75" fillId="17" borderId="0" applyNumberFormat="0" applyBorder="0" applyAlignment="0" applyProtection="0"/>
    <xf numFmtId="0" fontId="0" fillId="18" borderId="0" applyNumberFormat="0" applyBorder="0" applyAlignment="0" applyProtection="0"/>
    <xf numFmtId="0" fontId="1" fillId="19" borderId="0" applyNumberFormat="0" applyBorder="0" applyAlignment="0" applyProtection="0"/>
    <xf numFmtId="0" fontId="75" fillId="20" borderId="0" applyNumberFormat="0" applyBorder="0" applyAlignment="0" applyProtection="0"/>
    <xf numFmtId="0" fontId="0" fillId="21" borderId="0" applyNumberFormat="0" applyBorder="0" applyAlignment="0" applyProtection="0"/>
    <xf numFmtId="0" fontId="1" fillId="22" borderId="0" applyNumberFormat="0" applyBorder="0" applyAlignment="0" applyProtection="0"/>
    <xf numFmtId="0" fontId="75" fillId="23" borderId="0" applyNumberFormat="0" applyBorder="0" applyAlignment="0" applyProtection="0"/>
    <xf numFmtId="0" fontId="0" fillId="24" borderId="0" applyNumberFormat="0" applyBorder="0" applyAlignment="0" applyProtection="0"/>
    <xf numFmtId="0" fontId="1" fillId="25" borderId="0" applyNumberFormat="0" applyBorder="0" applyAlignment="0" applyProtection="0"/>
    <xf numFmtId="0" fontId="75" fillId="26" borderId="0" applyNumberFormat="0" applyBorder="0" applyAlignment="0" applyProtection="0"/>
    <xf numFmtId="0" fontId="0" fillId="27" borderId="0" applyNumberFormat="0" applyBorder="0" applyAlignment="0" applyProtection="0"/>
    <xf numFmtId="0" fontId="1" fillId="11" borderId="0" applyNumberFormat="0" applyBorder="0" applyAlignment="0" applyProtection="0"/>
    <xf numFmtId="0" fontId="75" fillId="28" borderId="0" applyNumberFormat="0" applyBorder="0" applyAlignment="0" applyProtection="0"/>
    <xf numFmtId="0" fontId="0" fillId="29" borderId="0" applyNumberFormat="0" applyBorder="0" applyAlignment="0" applyProtection="0"/>
    <xf numFmtId="0" fontId="1" fillId="19" borderId="0" applyNumberFormat="0" applyBorder="0" applyAlignment="0" applyProtection="0"/>
    <xf numFmtId="0" fontId="75" fillId="30" borderId="0" applyNumberFormat="0" applyBorder="0" applyAlignment="0" applyProtection="0"/>
    <xf numFmtId="0" fontId="0" fillId="31" borderId="0" applyNumberFormat="0" applyBorder="0" applyAlignment="0" applyProtection="0"/>
    <xf numFmtId="0" fontId="1" fillId="32" borderId="0" applyNumberFormat="0" applyBorder="0" applyAlignment="0" applyProtection="0"/>
    <xf numFmtId="0" fontId="75" fillId="33" borderId="0" applyNumberFormat="0" applyBorder="0" applyAlignment="0" applyProtection="0"/>
    <xf numFmtId="0" fontId="76" fillId="34" borderId="0" applyNumberFormat="0" applyBorder="0" applyAlignment="0" applyProtection="0"/>
    <xf numFmtId="0" fontId="6" fillId="35" borderId="0" applyNumberFormat="0" applyBorder="0" applyAlignment="0" applyProtection="0"/>
    <xf numFmtId="0" fontId="77" fillId="36" borderId="0" applyNumberFormat="0" applyBorder="0" applyAlignment="0" applyProtection="0"/>
    <xf numFmtId="0" fontId="76" fillId="37" borderId="0" applyNumberFormat="0" applyBorder="0" applyAlignment="0" applyProtection="0"/>
    <xf numFmtId="0" fontId="6" fillId="22" borderId="0" applyNumberFormat="0" applyBorder="0" applyAlignment="0" applyProtection="0"/>
    <xf numFmtId="0" fontId="77" fillId="38" borderId="0" applyNumberFormat="0" applyBorder="0" applyAlignment="0" applyProtection="0"/>
    <xf numFmtId="0" fontId="76" fillId="39" borderId="0" applyNumberFormat="0" applyBorder="0" applyAlignment="0" applyProtection="0"/>
    <xf numFmtId="0" fontId="6" fillId="25" borderId="0" applyNumberFormat="0" applyBorder="0" applyAlignment="0" applyProtection="0"/>
    <xf numFmtId="0" fontId="77" fillId="40" borderId="0" applyNumberFormat="0" applyBorder="0" applyAlignment="0" applyProtection="0"/>
    <xf numFmtId="0" fontId="76" fillId="41" borderId="0" applyNumberFormat="0" applyBorder="0" applyAlignment="0" applyProtection="0"/>
    <xf numFmtId="0" fontId="6" fillId="42" borderId="0" applyNumberFormat="0" applyBorder="0" applyAlignment="0" applyProtection="0"/>
    <xf numFmtId="0" fontId="77" fillId="43" borderId="0" applyNumberFormat="0" applyBorder="0" applyAlignment="0" applyProtection="0"/>
    <xf numFmtId="0" fontId="76" fillId="44" borderId="0" applyNumberFormat="0" applyBorder="0" applyAlignment="0" applyProtection="0"/>
    <xf numFmtId="0" fontId="6" fillId="45" borderId="0" applyNumberFormat="0" applyBorder="0" applyAlignment="0" applyProtection="0"/>
    <xf numFmtId="0" fontId="77" fillId="46" borderId="0" applyNumberFormat="0" applyBorder="0" applyAlignment="0" applyProtection="0"/>
    <xf numFmtId="0" fontId="76" fillId="47" borderId="0" applyNumberFormat="0" applyBorder="0" applyAlignment="0" applyProtection="0"/>
    <xf numFmtId="0" fontId="6" fillId="48" borderId="0" applyNumberFormat="0" applyBorder="0" applyAlignment="0" applyProtection="0"/>
    <xf numFmtId="0" fontId="77" fillId="7" borderId="0" applyNumberFormat="0" applyBorder="0" applyAlignment="0" applyProtection="0"/>
    <xf numFmtId="0" fontId="76" fillId="49" borderId="0" applyNumberFormat="0" applyBorder="0" applyAlignment="0" applyProtection="0"/>
    <xf numFmtId="0" fontId="6" fillId="50" borderId="0" applyNumberFormat="0" applyBorder="0" applyAlignment="0" applyProtection="0"/>
    <xf numFmtId="0" fontId="77" fillId="51" borderId="0" applyNumberFormat="0" applyBorder="0" applyAlignment="0" applyProtection="0"/>
    <xf numFmtId="0" fontId="76" fillId="52" borderId="0" applyNumberFormat="0" applyBorder="0" applyAlignment="0" applyProtection="0"/>
    <xf numFmtId="0" fontId="6" fillId="53" borderId="0" applyNumberFormat="0" applyBorder="0" applyAlignment="0" applyProtection="0"/>
    <xf numFmtId="0" fontId="77" fillId="54" borderId="0" applyNumberFormat="0" applyBorder="0" applyAlignment="0" applyProtection="0"/>
    <xf numFmtId="0" fontId="76" fillId="55" borderId="0" applyNumberFormat="0" applyBorder="0" applyAlignment="0" applyProtection="0"/>
    <xf numFmtId="0" fontId="6" fillId="56" borderId="0" applyNumberFormat="0" applyBorder="0" applyAlignment="0" applyProtection="0"/>
    <xf numFmtId="0" fontId="77" fillId="57" borderId="0" applyNumberFormat="0" applyBorder="0" applyAlignment="0" applyProtection="0"/>
    <xf numFmtId="0" fontId="76" fillId="58" borderId="0" applyNumberFormat="0" applyBorder="0" applyAlignment="0" applyProtection="0"/>
    <xf numFmtId="0" fontId="6" fillId="42" borderId="0" applyNumberFormat="0" applyBorder="0" applyAlignment="0" applyProtection="0"/>
    <xf numFmtId="0" fontId="77" fillId="59" borderId="0" applyNumberFormat="0" applyBorder="0" applyAlignment="0" applyProtection="0"/>
    <xf numFmtId="0" fontId="76" fillId="60" borderId="0" applyNumberFormat="0" applyBorder="0" applyAlignment="0" applyProtection="0"/>
    <xf numFmtId="0" fontId="6" fillId="45" borderId="0" applyNumberFormat="0" applyBorder="0" applyAlignment="0" applyProtection="0"/>
    <xf numFmtId="0" fontId="77" fillId="61" borderId="0" applyNumberFormat="0" applyBorder="0" applyAlignment="0" applyProtection="0"/>
    <xf numFmtId="0" fontId="76" fillId="62" borderId="0" applyNumberFormat="0" applyBorder="0" applyAlignment="0" applyProtection="0"/>
    <xf numFmtId="0" fontId="6" fillId="63" borderId="0" applyNumberFormat="0" applyBorder="0" applyAlignment="0" applyProtection="0"/>
    <xf numFmtId="0" fontId="77" fillId="64" borderId="0" applyNumberFormat="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78" fillId="65" borderId="0" applyNumberFormat="0" applyBorder="0" applyAlignment="0" applyProtection="0"/>
    <xf numFmtId="0" fontId="7" fillId="6" borderId="0" applyNumberFormat="0" applyBorder="0" applyAlignment="0" applyProtection="0"/>
    <xf numFmtId="0" fontId="78" fillId="65" borderId="0" applyNumberFormat="0" applyBorder="0" applyAlignment="0" applyProtection="0"/>
    <xf numFmtId="0" fontId="78" fillId="65" borderId="0" applyNumberFormat="0" applyBorder="0" applyAlignment="0" applyProtection="0"/>
    <xf numFmtId="0" fontId="5" fillId="0" borderId="0">
      <alignment/>
      <protection/>
    </xf>
    <xf numFmtId="0" fontId="79" fillId="66" borderId="1" applyNumberFormat="0" applyAlignment="0" applyProtection="0"/>
    <xf numFmtId="0" fontId="8" fillId="67" borderId="2" applyNumberFormat="0" applyAlignment="0" applyProtection="0"/>
    <xf numFmtId="0" fontId="79" fillId="66" borderId="1" applyNumberFormat="0" applyAlignment="0" applyProtection="0"/>
    <xf numFmtId="0" fontId="79" fillId="66" borderId="1" applyNumberFormat="0" applyAlignment="0" applyProtection="0"/>
    <xf numFmtId="43" fontId="3" fillId="0" borderId="0" applyFont="0" applyFill="0" applyBorder="0" applyAlignment="0" applyProtection="0"/>
    <xf numFmtId="41" fontId="3" fillId="0" borderId="0" applyFont="0" applyFill="0" applyBorder="0" applyAlignment="0" applyProtection="0"/>
    <xf numFmtId="164" fontId="24" fillId="0" borderId="0" applyFont="0" applyFill="0" applyBorder="0" applyAlignment="0" applyProtection="0"/>
    <xf numFmtId="171" fontId="34" fillId="0" borderId="0" applyFont="0" applyFill="0" applyBorder="0" applyAlignment="0" applyProtection="0"/>
    <xf numFmtId="171" fontId="4" fillId="0" borderId="0" applyFont="0" applyFill="0" applyBorder="0" applyAlignment="0" applyProtection="0"/>
    <xf numFmtId="171" fontId="1" fillId="0" borderId="0" applyFont="0" applyFill="0" applyBorder="0" applyAlignment="0" applyProtection="0"/>
    <xf numFmtId="171" fontId="22" fillId="0" borderId="0" applyFont="0" applyFill="0" applyBorder="0" applyAlignment="0" applyProtection="0"/>
    <xf numFmtId="171" fontId="23" fillId="0" borderId="0" applyFont="0" applyFill="0" applyBorder="0" applyAlignment="0" applyProtection="0"/>
    <xf numFmtId="171" fontId="1" fillId="0" borderId="0" applyFont="0" applyFill="0" applyBorder="0" applyAlignment="0" applyProtection="0"/>
    <xf numFmtId="171" fontId="23"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2"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44" fontId="3" fillId="0" borderId="0" applyFont="0" applyFill="0" applyBorder="0" applyAlignment="0" applyProtection="0"/>
    <xf numFmtId="42" fontId="3"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0" fontId="80" fillId="68" borderId="3" applyNumberFormat="0" applyAlignment="0" applyProtection="0"/>
    <xf numFmtId="0" fontId="9" fillId="69" borderId="4" applyNumberFormat="0" applyAlignment="0" applyProtection="0"/>
    <xf numFmtId="0" fontId="81" fillId="68" borderId="3" applyNumberFormat="0" applyAlignment="0" applyProtection="0"/>
    <xf numFmtId="0" fontId="2" fillId="0" borderId="0" applyFont="0" applyFill="0" applyBorder="0" applyAlignment="0" applyProtection="0"/>
    <xf numFmtId="0" fontId="2" fillId="0" borderId="0" applyFont="0" applyFill="0" applyBorder="0" applyAlignment="0" applyProtection="0"/>
    <xf numFmtId="0" fontId="82" fillId="0" borderId="0" applyNumberFormat="0" applyFill="0" applyBorder="0" applyAlignment="0" applyProtection="0"/>
    <xf numFmtId="0" fontId="10"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2" fontId="2" fillId="0" borderId="0" applyFont="0" applyFill="0" applyBorder="0" applyAlignment="0" applyProtection="0"/>
    <xf numFmtId="2" fontId="2" fillId="0" borderId="0" applyFont="0" applyFill="0" applyBorder="0" applyAlignment="0" applyProtection="0"/>
    <xf numFmtId="0" fontId="83" fillId="0" borderId="0" applyNumberFormat="0" applyFill="0" applyBorder="0" applyAlignment="0" applyProtection="0"/>
    <xf numFmtId="0" fontId="84" fillId="70" borderId="0" applyNumberFormat="0" applyBorder="0" applyAlignment="0" applyProtection="0"/>
    <xf numFmtId="0" fontId="11" fillId="9" borderId="0" applyNumberFormat="0" applyBorder="0" applyAlignment="0" applyProtection="0"/>
    <xf numFmtId="0" fontId="84" fillId="70" borderId="0" applyNumberFormat="0" applyBorder="0" applyAlignment="0" applyProtection="0"/>
    <xf numFmtId="0" fontId="84" fillId="70" borderId="0" applyNumberFormat="0" applyBorder="0" applyAlignment="0" applyProtection="0"/>
    <xf numFmtId="0" fontId="85" fillId="0" borderId="5" applyNumberFormat="0" applyFill="0" applyAlignment="0" applyProtection="0"/>
    <xf numFmtId="0" fontId="12" fillId="0" borderId="6" applyNumberFormat="0" applyFill="0" applyAlignment="0" applyProtection="0"/>
    <xf numFmtId="0" fontId="86" fillId="0" borderId="7" applyNumberFormat="0" applyFill="0" applyAlignment="0" applyProtection="0"/>
    <xf numFmtId="0" fontId="87" fillId="0" borderId="8" applyNumberFormat="0" applyFill="0" applyAlignment="0" applyProtection="0"/>
    <xf numFmtId="0" fontId="13" fillId="0" borderId="9" applyNumberFormat="0" applyFill="0" applyAlignment="0" applyProtection="0"/>
    <xf numFmtId="0" fontId="88" fillId="0" borderId="10" applyNumberFormat="0" applyFill="0" applyAlignment="0" applyProtection="0"/>
    <xf numFmtId="0" fontId="89" fillId="0" borderId="11" applyNumberFormat="0" applyFill="0" applyAlignment="0" applyProtection="0"/>
    <xf numFmtId="0" fontId="14" fillId="0" borderId="12" applyNumberFormat="0" applyFill="0" applyAlignment="0" applyProtection="0"/>
    <xf numFmtId="0" fontId="90" fillId="0" borderId="13" applyNumberFormat="0" applyFill="0" applyAlignment="0" applyProtection="0"/>
    <xf numFmtId="0" fontId="89" fillId="0" borderId="0" applyNumberFormat="0" applyFill="0" applyBorder="0" applyAlignment="0" applyProtection="0"/>
    <xf numFmtId="0" fontId="14" fillId="0" borderId="0" applyNumberFormat="0" applyFill="0" applyBorder="0" applyAlignment="0" applyProtection="0"/>
    <xf numFmtId="0" fontId="90" fillId="0" borderId="0" applyNumberFormat="0" applyFill="0" applyBorder="0" applyAlignment="0" applyProtection="0"/>
    <xf numFmtId="0" fontId="91" fillId="0" borderId="0" applyNumberFormat="0" applyFill="0" applyBorder="0" applyAlignment="0" applyProtection="0"/>
    <xf numFmtId="0" fontId="92" fillId="71" borderId="1" applyNumberFormat="0" applyAlignment="0" applyProtection="0"/>
    <xf numFmtId="0" fontId="15" fillId="7" borderId="2" applyNumberFormat="0" applyAlignment="0" applyProtection="0"/>
    <xf numFmtId="0" fontId="92" fillId="71" borderId="1" applyNumberFormat="0" applyAlignment="0" applyProtection="0"/>
    <xf numFmtId="0" fontId="92" fillId="71" borderId="1" applyNumberFormat="0" applyAlignment="0" applyProtection="0"/>
    <xf numFmtId="0" fontId="93" fillId="0" borderId="14" applyNumberFormat="0" applyFill="0" applyAlignment="0" applyProtection="0"/>
    <xf numFmtId="0" fontId="16" fillId="0" borderId="15" applyNumberFormat="0" applyFill="0" applyAlignment="0" applyProtection="0"/>
    <xf numFmtId="0" fontId="93" fillId="0" borderId="14" applyNumberFormat="0" applyFill="0" applyAlignment="0" applyProtection="0"/>
    <xf numFmtId="0" fontId="93" fillId="0" borderId="14" applyNumberFormat="0" applyFill="0" applyAlignment="0" applyProtection="0"/>
    <xf numFmtId="0" fontId="94" fillId="72" borderId="0" applyNumberFormat="0" applyBorder="0" applyAlignment="0" applyProtection="0"/>
    <xf numFmtId="0" fontId="17" fillId="73" borderId="0" applyNumberFormat="0" applyBorder="0" applyAlignment="0" applyProtection="0"/>
    <xf numFmtId="0" fontId="94" fillId="72" borderId="0" applyNumberFormat="0" applyBorder="0" applyAlignment="0" applyProtection="0"/>
    <xf numFmtId="0" fontId="94" fillId="72" borderId="0" applyNumberFormat="0" applyBorder="0" applyAlignment="0" applyProtection="0"/>
    <xf numFmtId="0" fontId="2" fillId="0" borderId="0">
      <alignment/>
      <protection/>
    </xf>
    <xf numFmtId="0" fontId="34" fillId="0" borderId="0">
      <alignment/>
      <protection/>
    </xf>
    <xf numFmtId="0" fontId="2" fillId="0" borderId="0">
      <alignment/>
      <protection/>
    </xf>
    <xf numFmtId="0" fontId="2" fillId="0" borderId="0">
      <alignment/>
      <protection/>
    </xf>
    <xf numFmtId="0" fontId="2" fillId="0" borderId="0">
      <alignment/>
      <protection/>
    </xf>
    <xf numFmtId="0" fontId="95" fillId="0" borderId="0">
      <alignment/>
      <protection/>
    </xf>
    <xf numFmtId="0" fontId="1" fillId="0" borderId="0">
      <alignment/>
      <protection/>
    </xf>
    <xf numFmtId="0" fontId="95" fillId="0" borderId="0">
      <alignment/>
      <protection/>
    </xf>
    <xf numFmtId="0" fontId="96" fillId="0" borderId="0">
      <alignment/>
      <protection/>
    </xf>
    <xf numFmtId="0" fontId="75" fillId="0" borderId="0">
      <alignment/>
      <protection/>
    </xf>
    <xf numFmtId="0" fontId="0" fillId="0" borderId="0">
      <alignment/>
      <protection/>
    </xf>
    <xf numFmtId="0" fontId="2" fillId="0" borderId="0">
      <alignment/>
      <protection/>
    </xf>
    <xf numFmtId="0" fontId="97" fillId="0" borderId="0">
      <alignment/>
      <protection/>
    </xf>
    <xf numFmtId="0" fontId="98" fillId="0" borderId="0">
      <alignment/>
      <protection/>
    </xf>
    <xf numFmtId="0" fontId="2" fillId="0" borderId="0">
      <alignment/>
      <protection/>
    </xf>
    <xf numFmtId="0" fontId="3" fillId="74" borderId="16" applyNumberFormat="0" applyFont="0" applyAlignment="0" applyProtection="0"/>
    <xf numFmtId="0" fontId="1" fillId="75" borderId="17" applyNumberFormat="0" applyFont="0" applyAlignment="0" applyProtection="0"/>
    <xf numFmtId="0" fontId="3" fillId="74" borderId="16" applyNumberFormat="0" applyFont="0" applyAlignment="0" applyProtection="0"/>
    <xf numFmtId="0" fontId="3" fillId="74" borderId="16" applyNumberFormat="0" applyFont="0" applyAlignment="0" applyProtection="0"/>
    <xf numFmtId="0" fontId="99" fillId="66" borderId="18" applyNumberFormat="0" applyAlignment="0" applyProtection="0"/>
    <xf numFmtId="0" fontId="18" fillId="67" borderId="19" applyNumberFormat="0" applyAlignment="0" applyProtection="0"/>
    <xf numFmtId="0" fontId="99" fillId="66" borderId="18" applyNumberFormat="0" applyAlignment="0" applyProtection="0"/>
    <xf numFmtId="0" fontId="99" fillId="66" borderId="18" applyNumberFormat="0" applyAlignment="0" applyProtection="0"/>
    <xf numFmtId="9" fontId="3" fillId="0" borderId="0" applyFont="0" applyFill="0" applyBorder="0" applyAlignment="0" applyProtection="0"/>
    <xf numFmtId="9" fontId="23" fillId="0" borderId="0" applyFont="0" applyFill="0" applyBorder="0" applyAlignment="0" applyProtection="0"/>
    <xf numFmtId="9" fontId="4" fillId="0" borderId="0" applyFont="0" applyFill="0" applyBorder="0" applyAlignment="0" applyProtection="0"/>
    <xf numFmtId="0" fontId="100" fillId="0" borderId="0" applyNumberFormat="0" applyFill="0" applyBorder="0" applyAlignment="0" applyProtection="0"/>
    <xf numFmtId="0" fontId="19" fillId="0" borderId="0" applyNumberFormat="0" applyFill="0" applyBorder="0" applyAlignment="0" applyProtection="0"/>
    <xf numFmtId="0" fontId="101" fillId="0" borderId="0" applyNumberFormat="0" applyFill="0" applyBorder="0" applyAlignment="0" applyProtection="0"/>
    <xf numFmtId="0" fontId="102" fillId="0" borderId="20" applyNumberFormat="0" applyFill="0" applyAlignment="0" applyProtection="0"/>
    <xf numFmtId="0" fontId="20" fillId="0" borderId="21" applyNumberFormat="0" applyFill="0" applyAlignment="0" applyProtection="0"/>
    <xf numFmtId="0" fontId="103" fillId="0" borderId="22" applyNumberFormat="0" applyFill="0" applyAlignment="0" applyProtection="0"/>
    <xf numFmtId="0" fontId="104" fillId="0" borderId="0" applyNumberFormat="0" applyFill="0" applyBorder="0" applyAlignment="0" applyProtection="0"/>
    <xf numFmtId="0" fontId="21"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cellStyleXfs>
  <cellXfs count="290">
    <xf numFmtId="0" fontId="0" fillId="0" borderId="0" xfId="0" applyFont="1" applyAlignment="1">
      <alignment/>
    </xf>
    <xf numFmtId="3" fontId="29" fillId="0" borderId="23" xfId="99" applyNumberFormat="1" applyFont="1" applyFill="1" applyBorder="1" applyAlignment="1">
      <alignment horizontal="right" vertical="center"/>
    </xf>
    <xf numFmtId="3" fontId="30" fillId="0" borderId="23" xfId="99" applyNumberFormat="1" applyFont="1" applyFill="1" applyBorder="1" applyAlignment="1">
      <alignment horizontal="right" vertical="center"/>
    </xf>
    <xf numFmtId="0" fontId="29" fillId="0" borderId="23" xfId="0" applyFont="1" applyFill="1" applyBorder="1" applyAlignment="1">
      <alignment horizontal="center" vertical="center"/>
    </xf>
    <xf numFmtId="3" fontId="29" fillId="0" borderId="23" xfId="115" applyNumberFormat="1" applyFont="1" applyFill="1" applyBorder="1" applyAlignment="1">
      <alignment horizontal="right" vertical="center"/>
    </xf>
    <xf numFmtId="176" fontId="29" fillId="0" borderId="23" xfId="115" applyNumberFormat="1" applyFont="1" applyFill="1" applyBorder="1" applyAlignment="1">
      <alignment horizontal="right" vertical="center"/>
    </xf>
    <xf numFmtId="176" fontId="29" fillId="0" borderId="23" xfId="99" applyNumberFormat="1" applyFont="1" applyFill="1" applyBorder="1" applyAlignment="1">
      <alignment horizontal="right" vertical="center"/>
    </xf>
    <xf numFmtId="0" fontId="29" fillId="0" borderId="23" xfId="169" applyFont="1" applyFill="1" applyBorder="1" applyAlignment="1">
      <alignment horizontal="center" vertical="center"/>
      <protection/>
    </xf>
    <xf numFmtId="3" fontId="29" fillId="0" borderId="23" xfId="0" applyNumberFormat="1" applyFont="1" applyFill="1" applyBorder="1" applyAlignment="1">
      <alignment horizontal="right" vertical="center" wrapText="1"/>
    </xf>
    <xf numFmtId="0" fontId="30" fillId="0" borderId="23" xfId="169" applyFont="1" applyFill="1" applyBorder="1" applyAlignment="1">
      <alignment horizontal="center" vertical="center"/>
      <protection/>
    </xf>
    <xf numFmtId="3" fontId="30" fillId="0" borderId="23" xfId="0" applyNumberFormat="1" applyFont="1" applyFill="1" applyBorder="1" applyAlignment="1">
      <alignment horizontal="right" vertical="center" wrapText="1"/>
    </xf>
    <xf numFmtId="3" fontId="29" fillId="0" borderId="23" xfId="0" applyNumberFormat="1" applyFont="1" applyFill="1" applyBorder="1" applyAlignment="1">
      <alignment horizontal="right" vertical="center"/>
    </xf>
    <xf numFmtId="0" fontId="30" fillId="0" borderId="23" xfId="0" applyFont="1" applyFill="1" applyBorder="1" applyAlignment="1">
      <alignment horizontal="center" vertical="center"/>
    </xf>
    <xf numFmtId="176" fontId="29" fillId="0" borderId="23" xfId="99" applyNumberFormat="1" applyFont="1" applyFill="1" applyBorder="1" applyAlignment="1">
      <alignment horizontal="right" vertical="center"/>
    </xf>
    <xf numFmtId="0" fontId="31" fillId="0" borderId="23" xfId="169" applyFont="1" applyFill="1" applyBorder="1" applyAlignment="1">
      <alignment horizontal="center" vertical="center"/>
      <protection/>
    </xf>
    <xf numFmtId="0" fontId="30" fillId="0" borderId="23" xfId="170" applyFont="1" applyFill="1" applyBorder="1" applyAlignment="1">
      <alignment horizontal="center" vertical="center" wrapText="1"/>
      <protection/>
    </xf>
    <xf numFmtId="176" fontId="29" fillId="0" borderId="23" xfId="117" applyNumberFormat="1" applyFont="1" applyFill="1" applyBorder="1" applyAlignment="1">
      <alignment horizontal="right" vertical="center"/>
    </xf>
    <xf numFmtId="176" fontId="30" fillId="0" borderId="23" xfId="99" applyNumberFormat="1" applyFont="1" applyFill="1" applyBorder="1" applyAlignment="1">
      <alignment horizontal="right" vertical="center"/>
    </xf>
    <xf numFmtId="180" fontId="29" fillId="0" borderId="23" xfId="99" applyNumberFormat="1" applyFont="1" applyFill="1" applyBorder="1" applyAlignment="1">
      <alignment horizontal="right" vertical="center" wrapText="1"/>
    </xf>
    <xf numFmtId="0" fontId="30" fillId="0" borderId="23" xfId="0" applyFont="1" applyFill="1" applyBorder="1" applyAlignment="1">
      <alignment horizontal="center" vertical="center" wrapText="1"/>
    </xf>
    <xf numFmtId="0" fontId="30" fillId="0" borderId="23" xfId="0" applyFont="1" applyFill="1" applyBorder="1" applyAlignment="1">
      <alignment horizontal="center" vertical="center"/>
    </xf>
    <xf numFmtId="0" fontId="29" fillId="0" borderId="23" xfId="0" applyFont="1" applyFill="1" applyBorder="1" applyAlignment="1">
      <alignment horizontal="center" vertical="center"/>
    </xf>
    <xf numFmtId="49" fontId="29" fillId="0" borderId="23" xfId="0" applyNumberFormat="1" applyFont="1" applyFill="1" applyBorder="1" applyAlignment="1">
      <alignment horizontal="left" vertical="center"/>
    </xf>
    <xf numFmtId="49" fontId="30" fillId="0" borderId="23" xfId="0" applyNumberFormat="1" applyFont="1" applyFill="1" applyBorder="1" applyAlignment="1">
      <alignment horizontal="left" vertical="center"/>
    </xf>
    <xf numFmtId="49" fontId="29" fillId="0" borderId="23" xfId="0" applyNumberFormat="1" applyFont="1" applyFill="1" applyBorder="1" applyAlignment="1">
      <alignment horizontal="left" vertical="center"/>
    </xf>
    <xf numFmtId="49" fontId="29" fillId="0" borderId="23" xfId="0" applyNumberFormat="1" applyFont="1" applyFill="1" applyBorder="1" applyAlignment="1">
      <alignment horizontal="left" vertical="center" wrapText="1"/>
    </xf>
    <xf numFmtId="49" fontId="31" fillId="0" borderId="23" xfId="169" applyNumberFormat="1" applyFont="1" applyFill="1" applyBorder="1" applyAlignment="1">
      <alignment horizontal="left" vertical="center" wrapText="1"/>
      <protection/>
    </xf>
    <xf numFmtId="49" fontId="32" fillId="0" borderId="23" xfId="169" applyNumberFormat="1" applyFont="1" applyFill="1" applyBorder="1" applyAlignment="1">
      <alignment horizontal="left" vertical="center" wrapText="1"/>
      <protection/>
    </xf>
    <xf numFmtId="49" fontId="29" fillId="0" borderId="23" xfId="169" applyNumberFormat="1" applyFont="1" applyFill="1" applyBorder="1" applyAlignment="1">
      <alignment horizontal="left" vertical="center" wrapText="1"/>
      <protection/>
    </xf>
    <xf numFmtId="49" fontId="31" fillId="0" borderId="23" xfId="0" applyNumberFormat="1" applyFont="1" applyFill="1" applyBorder="1" applyAlignment="1">
      <alignment horizontal="left" vertical="center" wrapText="1"/>
    </xf>
    <xf numFmtId="49" fontId="31" fillId="0" borderId="23" xfId="0" applyNumberFormat="1" applyFont="1" applyFill="1" applyBorder="1" applyAlignment="1">
      <alignment horizontal="left" vertical="center"/>
    </xf>
    <xf numFmtId="49" fontId="31" fillId="0" borderId="23" xfId="0" applyNumberFormat="1" applyFont="1" applyFill="1" applyBorder="1" applyAlignment="1">
      <alignment horizontal="left" vertical="center" wrapText="1"/>
    </xf>
    <xf numFmtId="49" fontId="31" fillId="0" borderId="23" xfId="169" applyNumberFormat="1" applyFont="1" applyFill="1" applyBorder="1" applyAlignment="1">
      <alignment horizontal="left" vertical="center" wrapText="1"/>
      <protection/>
    </xf>
    <xf numFmtId="49" fontId="30" fillId="0" borderId="23" xfId="169" applyNumberFormat="1" applyFont="1" applyFill="1" applyBorder="1" applyAlignment="1">
      <alignment horizontal="left" vertical="center" wrapText="1"/>
      <protection/>
    </xf>
    <xf numFmtId="49" fontId="30" fillId="0" borderId="23" xfId="0" applyNumberFormat="1" applyFont="1" applyFill="1" applyBorder="1" applyAlignment="1">
      <alignment horizontal="left" vertical="center" wrapText="1"/>
    </xf>
    <xf numFmtId="49" fontId="31" fillId="0" borderId="23" xfId="0" applyNumberFormat="1" applyFont="1" applyFill="1" applyBorder="1" applyAlignment="1">
      <alignment horizontal="left" vertical="center"/>
    </xf>
    <xf numFmtId="49" fontId="30" fillId="0" borderId="23" xfId="0" applyNumberFormat="1" applyFont="1" applyFill="1" applyBorder="1" applyAlignment="1">
      <alignment horizontal="left" vertical="center"/>
    </xf>
    <xf numFmtId="49" fontId="32" fillId="0" borderId="23" xfId="0" applyNumberFormat="1" applyFont="1" applyFill="1" applyBorder="1" applyAlignment="1">
      <alignment horizontal="left" vertical="center" wrapText="1"/>
    </xf>
    <xf numFmtId="49" fontId="32" fillId="0" borderId="23" xfId="0" applyNumberFormat="1" applyFont="1" applyFill="1" applyBorder="1" applyAlignment="1">
      <alignment horizontal="left" vertical="center" wrapText="1"/>
    </xf>
    <xf numFmtId="49" fontId="31" fillId="0" borderId="23" xfId="181" applyNumberFormat="1" applyFont="1" applyFill="1" applyBorder="1" applyAlignment="1">
      <alignment horizontal="left" vertical="center" wrapText="1"/>
      <protection/>
    </xf>
    <xf numFmtId="49" fontId="29" fillId="0" borderId="23" xfId="181" applyNumberFormat="1" applyFont="1" applyFill="1" applyBorder="1" applyAlignment="1">
      <alignment horizontal="left" vertical="center" wrapText="1"/>
      <protection/>
    </xf>
    <xf numFmtId="49" fontId="30" fillId="0" borderId="23" xfId="181" applyNumberFormat="1" applyFont="1" applyFill="1" applyBorder="1" applyAlignment="1">
      <alignment horizontal="left" vertical="center" wrapText="1"/>
      <protection/>
    </xf>
    <xf numFmtId="49" fontId="29" fillId="0" borderId="23" xfId="0" applyNumberFormat="1" applyFont="1" applyFill="1" applyBorder="1" applyAlignment="1">
      <alignment horizontal="left" vertical="center" wrapText="1"/>
    </xf>
    <xf numFmtId="49" fontId="29" fillId="0" borderId="23" xfId="0" applyNumberFormat="1" applyFont="1" applyFill="1" applyBorder="1" applyAlignment="1">
      <alignment horizontal="center" vertical="center" wrapText="1"/>
    </xf>
    <xf numFmtId="0" fontId="29" fillId="0" borderId="23" xfId="169" applyFont="1" applyFill="1" applyBorder="1" applyAlignment="1">
      <alignment horizontal="center" vertical="center"/>
      <protection/>
    </xf>
    <xf numFmtId="3" fontId="29" fillId="0" borderId="23" xfId="0" applyNumberFormat="1" applyFont="1" applyFill="1" applyBorder="1" applyAlignment="1">
      <alignment horizontal="right" vertical="center"/>
    </xf>
    <xf numFmtId="0" fontId="29" fillId="0" borderId="23" xfId="0" applyFont="1" applyFill="1" applyBorder="1" applyAlignment="1">
      <alignment horizontal="left" vertical="center" wrapText="1"/>
    </xf>
    <xf numFmtId="0" fontId="31" fillId="0" borderId="23" xfId="0" applyFont="1" applyFill="1" applyBorder="1" applyAlignment="1">
      <alignment horizontal="left" vertical="center"/>
    </xf>
    <xf numFmtId="0" fontId="30" fillId="0" borderId="23" xfId="0" applyFont="1" applyFill="1" applyBorder="1" applyAlignment="1">
      <alignment vertical="center"/>
    </xf>
    <xf numFmtId="0" fontId="29" fillId="0" borderId="23" xfId="0" applyFont="1" applyFill="1" applyBorder="1" applyAlignment="1">
      <alignment vertical="center"/>
    </xf>
    <xf numFmtId="0" fontId="29" fillId="0" borderId="23" xfId="0" applyFont="1" applyFill="1" applyBorder="1" applyAlignment="1">
      <alignment vertical="center" wrapText="1"/>
    </xf>
    <xf numFmtId="0" fontId="31" fillId="0" borderId="23" xfId="169" applyFont="1" applyFill="1" applyBorder="1" applyAlignment="1">
      <alignment horizontal="left" vertical="center" wrapText="1"/>
      <protection/>
    </xf>
    <xf numFmtId="0" fontId="30" fillId="0" borderId="23" xfId="169" applyFont="1" applyFill="1" applyBorder="1" applyAlignment="1">
      <alignment horizontal="center" vertical="center"/>
      <protection/>
    </xf>
    <xf numFmtId="0" fontId="29" fillId="0" borderId="23" xfId="169" applyFont="1" applyFill="1" applyBorder="1" applyAlignment="1">
      <alignment horizontal="left" vertical="center" wrapText="1"/>
      <protection/>
    </xf>
    <xf numFmtId="0" fontId="29" fillId="0" borderId="23" xfId="168" applyFont="1" applyFill="1" applyBorder="1" applyAlignment="1">
      <alignment horizontal="left"/>
      <protection/>
    </xf>
    <xf numFmtId="180" fontId="29" fillId="0" borderId="23" xfId="99" applyNumberFormat="1" applyFont="1" applyFill="1" applyBorder="1" applyAlignment="1">
      <alignment horizontal="right" vertical="center" wrapText="1"/>
    </xf>
    <xf numFmtId="0" fontId="29" fillId="0" borderId="23" xfId="0" applyFont="1" applyFill="1" applyBorder="1" applyAlignment="1">
      <alignment/>
    </xf>
    <xf numFmtId="0" fontId="29" fillId="0" borderId="23" xfId="0" applyFont="1" applyFill="1" applyBorder="1" applyAlignment="1">
      <alignment horizontal="center" vertical="center" wrapText="1"/>
    </xf>
    <xf numFmtId="0" fontId="29" fillId="0" borderId="23" xfId="0" applyFont="1" applyFill="1" applyBorder="1" applyAlignment="1">
      <alignment horizontal="left" vertical="center"/>
    </xf>
    <xf numFmtId="176" fontId="29" fillId="0" borderId="23" xfId="102" applyNumberFormat="1" applyFont="1" applyFill="1" applyBorder="1" applyAlignment="1">
      <alignment horizontal="right" vertical="center"/>
    </xf>
    <xf numFmtId="0" fontId="29" fillId="0" borderId="23" xfId="0" applyFont="1" applyFill="1" applyBorder="1" applyAlignment="1">
      <alignment horizontal="left"/>
    </xf>
    <xf numFmtId="0" fontId="31" fillId="0" borderId="23" xfId="0" applyFont="1" applyFill="1" applyBorder="1" applyAlignment="1">
      <alignment horizontal="left" vertical="center" wrapText="1"/>
    </xf>
    <xf numFmtId="49" fontId="29" fillId="0" borderId="23" xfId="0" applyNumberFormat="1" applyFont="1" applyFill="1" applyBorder="1" applyAlignment="1">
      <alignment horizontal="center" vertical="center"/>
    </xf>
    <xf numFmtId="49" fontId="29" fillId="0" borderId="23" xfId="181" applyNumberFormat="1" applyFont="1" applyFill="1" applyBorder="1" applyAlignment="1">
      <alignment horizontal="center" vertical="center" wrapText="1"/>
      <protection/>
    </xf>
    <xf numFmtId="0" fontId="29" fillId="0" borderId="24" xfId="0" applyFont="1" applyFill="1" applyBorder="1" applyAlignment="1">
      <alignment/>
    </xf>
    <xf numFmtId="49" fontId="30" fillId="0" borderId="23" xfId="0" applyNumberFormat="1" applyFont="1" applyFill="1" applyBorder="1" applyAlignment="1">
      <alignment horizontal="left" vertical="center" wrapText="1"/>
    </xf>
    <xf numFmtId="49" fontId="30" fillId="0" borderId="23" xfId="0" applyNumberFormat="1" applyFont="1" applyFill="1" applyBorder="1" applyAlignment="1">
      <alignment horizontal="center" vertical="center" wrapText="1"/>
    </xf>
    <xf numFmtId="3" fontId="30" fillId="0" borderId="23" xfId="0" applyNumberFormat="1" applyFont="1" applyFill="1" applyBorder="1" applyAlignment="1">
      <alignment horizontal="right" vertical="center" wrapText="1"/>
    </xf>
    <xf numFmtId="49" fontId="30" fillId="0" borderId="23" xfId="0" applyNumberFormat="1" applyFont="1" applyFill="1" applyBorder="1" applyAlignment="1">
      <alignment horizontal="center" vertical="center"/>
    </xf>
    <xf numFmtId="0" fontId="30" fillId="0" borderId="23" xfId="0" applyFont="1" applyFill="1" applyBorder="1" applyAlignment="1">
      <alignment/>
    </xf>
    <xf numFmtId="0" fontId="30" fillId="0" borderId="23" xfId="0" applyFont="1" applyFill="1" applyBorder="1" applyAlignment="1">
      <alignment horizontal="center" vertical="center" wrapText="1"/>
    </xf>
    <xf numFmtId="3" fontId="29" fillId="0" borderId="23" xfId="180" applyNumberFormat="1" applyFont="1" applyFill="1" applyBorder="1" applyAlignment="1">
      <alignment horizontal="right" vertical="center"/>
      <protection/>
    </xf>
    <xf numFmtId="3" fontId="32" fillId="0" borderId="23" xfId="0" applyNumberFormat="1" applyFont="1" applyFill="1" applyBorder="1" applyAlignment="1">
      <alignment horizontal="right" vertical="center" wrapText="1"/>
    </xf>
    <xf numFmtId="49" fontId="31" fillId="0" borderId="23" xfId="0" applyNumberFormat="1" applyFont="1" applyFill="1" applyBorder="1" applyAlignment="1">
      <alignment horizontal="center" vertical="center"/>
    </xf>
    <xf numFmtId="0" fontId="31" fillId="0" borderId="23" xfId="0" applyFont="1" applyFill="1" applyBorder="1" applyAlignment="1">
      <alignment/>
    </xf>
    <xf numFmtId="0" fontId="35" fillId="0" borderId="23" xfId="0" applyFont="1" applyFill="1" applyBorder="1" applyAlignment="1">
      <alignment/>
    </xf>
    <xf numFmtId="1" fontId="29" fillId="0" borderId="23" xfId="0" applyNumberFormat="1" applyFont="1" applyFill="1" applyBorder="1" applyAlignment="1">
      <alignment/>
    </xf>
    <xf numFmtId="1" fontId="31" fillId="0" borderId="23" xfId="0" applyNumberFormat="1" applyFont="1" applyFill="1" applyBorder="1" applyAlignment="1">
      <alignment/>
    </xf>
    <xf numFmtId="0" fontId="36" fillId="0" borderId="23" xfId="0" applyFont="1" applyFill="1" applyBorder="1" applyAlignment="1">
      <alignment/>
    </xf>
    <xf numFmtId="49" fontId="32" fillId="0" borderId="23" xfId="0" applyNumberFormat="1" applyFont="1" applyFill="1" applyBorder="1" applyAlignment="1">
      <alignment horizontal="left" vertical="center"/>
    </xf>
    <xf numFmtId="0" fontId="37" fillId="0" borderId="23" xfId="0" applyFont="1" applyFill="1" applyBorder="1" applyAlignment="1">
      <alignment/>
    </xf>
    <xf numFmtId="0" fontId="0" fillId="0" borderId="0" xfId="0" applyFill="1" applyAlignment="1">
      <alignment/>
    </xf>
    <xf numFmtId="0" fontId="30" fillId="0" borderId="25" xfId="0" applyFont="1" applyFill="1" applyBorder="1" applyAlignment="1">
      <alignment horizontal="center" vertical="center"/>
    </xf>
    <xf numFmtId="0" fontId="0" fillId="0" borderId="0" xfId="0" applyFill="1" applyBorder="1" applyAlignment="1">
      <alignment/>
    </xf>
    <xf numFmtId="0" fontId="37" fillId="0" borderId="0" xfId="0" applyFont="1" applyFill="1" applyAlignment="1">
      <alignment/>
    </xf>
    <xf numFmtId="176" fontId="29" fillId="0" borderId="25" xfId="99" applyNumberFormat="1" applyFont="1" applyFill="1" applyBorder="1" applyAlignment="1">
      <alignment horizontal="right" vertical="center"/>
    </xf>
    <xf numFmtId="3" fontId="31" fillId="0" borderId="23" xfId="0" applyNumberFormat="1" applyFont="1" applyFill="1" applyBorder="1" applyAlignment="1">
      <alignment horizontal="right" vertical="center" wrapText="1"/>
    </xf>
    <xf numFmtId="3" fontId="32" fillId="0" borderId="23" xfId="0" applyNumberFormat="1" applyFont="1" applyFill="1" applyBorder="1" applyAlignment="1">
      <alignment horizontal="right" vertical="center" wrapText="1"/>
    </xf>
    <xf numFmtId="3" fontId="29" fillId="0" borderId="23" xfId="168" applyNumberFormat="1" applyFont="1" applyFill="1" applyBorder="1" applyAlignment="1">
      <alignment vertical="center"/>
      <protection/>
    </xf>
    <xf numFmtId="177" fontId="29" fillId="0" borderId="23" xfId="0" applyNumberFormat="1" applyFont="1" applyFill="1" applyBorder="1" applyAlignment="1">
      <alignment horizontal="right" vertical="center"/>
    </xf>
    <xf numFmtId="177" fontId="30" fillId="0" borderId="23" xfId="0" applyNumberFormat="1" applyFont="1" applyFill="1" applyBorder="1" applyAlignment="1">
      <alignment horizontal="right" vertical="center"/>
    </xf>
    <xf numFmtId="177" fontId="30" fillId="0" borderId="23" xfId="0" applyNumberFormat="1" applyFont="1" applyFill="1" applyBorder="1" applyAlignment="1">
      <alignment horizontal="right" vertical="center"/>
    </xf>
    <xf numFmtId="3" fontId="29" fillId="0" borderId="23" xfId="181" applyNumberFormat="1" applyFont="1" applyFill="1" applyBorder="1" applyAlignment="1">
      <alignment horizontal="center" vertical="center" wrapText="1"/>
      <protection/>
    </xf>
    <xf numFmtId="3" fontId="30" fillId="0" borderId="23" xfId="181" applyNumberFormat="1" applyFont="1" applyFill="1" applyBorder="1" applyAlignment="1">
      <alignment horizontal="center" vertical="center" wrapText="1"/>
      <protection/>
    </xf>
    <xf numFmtId="176" fontId="29" fillId="0" borderId="23" xfId="99" applyNumberFormat="1" applyFont="1" applyFill="1" applyBorder="1" applyAlignment="1">
      <alignment vertical="center"/>
    </xf>
    <xf numFmtId="49" fontId="31" fillId="0" borderId="23" xfId="170" applyNumberFormat="1" applyFont="1" applyFill="1" applyBorder="1" applyAlignment="1">
      <alignment horizontal="left" vertical="center" wrapText="1"/>
      <protection/>
    </xf>
    <xf numFmtId="49" fontId="29" fillId="0" borderId="23" xfId="169" applyNumberFormat="1" applyFont="1" applyFill="1" applyBorder="1" applyAlignment="1">
      <alignment horizontal="left" vertical="center"/>
      <protection/>
    </xf>
    <xf numFmtId="188" fontId="29" fillId="0" borderId="23" xfId="0" applyNumberFormat="1" applyFont="1" applyFill="1" applyBorder="1" applyAlignment="1">
      <alignment horizontal="center" vertical="center"/>
    </xf>
    <xf numFmtId="0" fontId="37" fillId="0" borderId="23" xfId="0" applyFont="1" applyFill="1" applyBorder="1" applyAlignment="1">
      <alignment horizontal="center" vertical="center"/>
    </xf>
    <xf numFmtId="49" fontId="37" fillId="0" borderId="23" xfId="0" applyNumberFormat="1" applyFont="1" applyFill="1" applyBorder="1" applyAlignment="1">
      <alignment horizontal="center" vertical="center"/>
    </xf>
    <xf numFmtId="3" fontId="37" fillId="0" borderId="23" xfId="99" applyNumberFormat="1" applyFont="1" applyFill="1" applyBorder="1" applyAlignment="1">
      <alignment horizontal="right" vertical="center"/>
    </xf>
    <xf numFmtId="176" fontId="29" fillId="0" borderId="25" xfId="99" applyNumberFormat="1" applyFont="1" applyFill="1" applyBorder="1" applyAlignment="1">
      <alignment horizontal="right" vertical="center"/>
    </xf>
    <xf numFmtId="0" fontId="29" fillId="0" borderId="26" xfId="0" applyFont="1" applyFill="1" applyBorder="1" applyAlignment="1">
      <alignment horizontal="center" vertical="center" wrapText="1"/>
    </xf>
    <xf numFmtId="49" fontId="29" fillId="0" borderId="23" xfId="0" applyNumberFormat="1" applyFont="1" applyFill="1" applyBorder="1" applyAlignment="1">
      <alignment horizontal="center" vertical="center"/>
    </xf>
    <xf numFmtId="0" fontId="29" fillId="0" borderId="23" xfId="0" applyFont="1" applyFill="1" applyBorder="1" applyAlignment="1">
      <alignment/>
    </xf>
    <xf numFmtId="0" fontId="29" fillId="0" borderId="27" xfId="0" applyFont="1" applyFill="1" applyBorder="1" applyAlignment="1">
      <alignment vertical="center" wrapText="1"/>
    </xf>
    <xf numFmtId="3" fontId="29" fillId="0" borderId="23" xfId="0" applyNumberFormat="1" applyFont="1" applyFill="1" applyBorder="1" applyAlignment="1">
      <alignment horizontal="right" vertical="center" wrapText="1"/>
    </xf>
    <xf numFmtId="3" fontId="29" fillId="0" borderId="23" xfId="0" applyNumberFormat="1" applyFont="1" applyFill="1" applyBorder="1" applyAlignment="1">
      <alignment vertical="center"/>
    </xf>
    <xf numFmtId="0" fontId="31" fillId="0" borderId="23" xfId="0" applyFont="1" applyFill="1" applyBorder="1" applyAlignment="1">
      <alignment horizontal="center" vertical="center"/>
    </xf>
    <xf numFmtId="0" fontId="31" fillId="0" borderId="23" xfId="0" applyFont="1" applyFill="1" applyBorder="1" applyAlignment="1">
      <alignment horizontal="right" vertical="center"/>
    </xf>
    <xf numFmtId="0" fontId="30" fillId="0" borderId="24" xfId="0" applyFont="1" applyFill="1" applyBorder="1" applyAlignment="1">
      <alignment vertical="center"/>
    </xf>
    <xf numFmtId="3" fontId="30" fillId="0" borderId="23" xfId="0" applyNumberFormat="1" applyFont="1" applyFill="1" applyBorder="1" applyAlignment="1">
      <alignment horizontal="right" vertical="center"/>
    </xf>
    <xf numFmtId="0" fontId="31" fillId="0" borderId="23" xfId="0" applyFont="1" applyFill="1" applyBorder="1" applyAlignment="1">
      <alignment vertical="center"/>
    </xf>
    <xf numFmtId="181" fontId="37" fillId="0" borderId="23" xfId="0" applyNumberFormat="1" applyFont="1" applyFill="1" applyBorder="1" applyAlignment="1">
      <alignment horizontal="center" vertical="center"/>
    </xf>
    <xf numFmtId="3" fontId="37" fillId="0" borderId="23" xfId="0" applyNumberFormat="1" applyFont="1" applyFill="1" applyBorder="1" applyAlignment="1">
      <alignment vertical="center"/>
    </xf>
    <xf numFmtId="49" fontId="31" fillId="0" borderId="23" xfId="181" applyNumberFormat="1" applyFont="1" applyFill="1" applyBorder="1" applyAlignment="1">
      <alignment vertical="center" wrapText="1"/>
      <protection/>
    </xf>
    <xf numFmtId="176" fontId="29" fillId="0" borderId="23" xfId="102" applyNumberFormat="1" applyFont="1" applyFill="1" applyBorder="1" applyAlignment="1">
      <alignment vertical="center"/>
    </xf>
    <xf numFmtId="0" fontId="29" fillId="0" borderId="23" xfId="0" applyFont="1" applyFill="1" applyBorder="1" applyAlignment="1">
      <alignment/>
    </xf>
    <xf numFmtId="0" fontId="29" fillId="0" borderId="23" xfId="0" applyFont="1" applyFill="1" applyBorder="1" applyAlignment="1">
      <alignment vertical="center" wrapText="1"/>
    </xf>
    <xf numFmtId="49" fontId="29" fillId="76" borderId="23" xfId="0" applyNumberFormat="1" applyFont="1" applyFill="1" applyBorder="1" applyAlignment="1">
      <alignment horizontal="left" vertical="center"/>
    </xf>
    <xf numFmtId="0" fontId="29" fillId="76" borderId="23" xfId="0" applyFont="1" applyFill="1" applyBorder="1" applyAlignment="1">
      <alignment horizontal="center" vertical="center"/>
    </xf>
    <xf numFmtId="49" fontId="29" fillId="76" borderId="23" xfId="0" applyNumberFormat="1" applyFont="1" applyFill="1" applyBorder="1" applyAlignment="1">
      <alignment horizontal="center" vertical="center"/>
    </xf>
    <xf numFmtId="176" fontId="29" fillId="76" borderId="25" xfId="99" applyNumberFormat="1" applyFont="1" applyFill="1" applyBorder="1" applyAlignment="1">
      <alignment horizontal="right" vertical="center"/>
    </xf>
    <xf numFmtId="10" fontId="30" fillId="0" borderId="23" xfId="190" applyNumberFormat="1" applyFont="1" applyFill="1" applyBorder="1" applyAlignment="1">
      <alignment horizontal="center" vertical="center" wrapText="1"/>
    </xf>
    <xf numFmtId="10" fontId="30" fillId="0" borderId="23" xfId="190" applyNumberFormat="1" applyFont="1" applyFill="1" applyBorder="1" applyAlignment="1">
      <alignment horizontal="right" vertical="center"/>
    </xf>
    <xf numFmtId="10" fontId="37" fillId="0" borderId="26" xfId="190" applyNumberFormat="1" applyFont="1" applyFill="1" applyBorder="1" applyAlignment="1">
      <alignment horizontal="right" vertical="center"/>
    </xf>
    <xf numFmtId="10" fontId="29" fillId="0" borderId="23" xfId="190" applyNumberFormat="1" applyFont="1" applyFill="1" applyBorder="1" applyAlignment="1">
      <alignment horizontal="right" vertical="center"/>
    </xf>
    <xf numFmtId="10" fontId="37" fillId="0" borderId="23" xfId="190" applyNumberFormat="1" applyFont="1" applyFill="1" applyBorder="1" applyAlignment="1">
      <alignment/>
    </xf>
    <xf numFmtId="10" fontId="0" fillId="0" borderId="0" xfId="0" applyNumberFormat="1" applyFill="1" applyBorder="1" applyAlignment="1">
      <alignment/>
    </xf>
    <xf numFmtId="176" fontId="29" fillId="0" borderId="23" xfId="0" applyNumberFormat="1" applyFont="1" applyFill="1" applyBorder="1" applyAlignment="1">
      <alignment/>
    </xf>
    <xf numFmtId="10" fontId="37" fillId="76" borderId="23" xfId="190" applyNumberFormat="1" applyFont="1" applyFill="1" applyBorder="1" applyAlignment="1">
      <alignment/>
    </xf>
    <xf numFmtId="0" fontId="0" fillId="76" borderId="0" xfId="0" applyFill="1" applyBorder="1" applyAlignment="1">
      <alignment/>
    </xf>
    <xf numFmtId="0" fontId="0" fillId="76" borderId="0" xfId="0" applyFill="1" applyAlignment="1">
      <alignment/>
    </xf>
    <xf numFmtId="10" fontId="0" fillId="76" borderId="0" xfId="0" applyNumberFormat="1" applyFill="1" applyBorder="1" applyAlignment="1">
      <alignment/>
    </xf>
    <xf numFmtId="180" fontId="29" fillId="0" borderId="23" xfId="99" applyNumberFormat="1" applyFont="1" applyFill="1" applyBorder="1" applyAlignment="1">
      <alignment horizontal="center" vertical="center"/>
    </xf>
    <xf numFmtId="0" fontId="105" fillId="0" borderId="0" xfId="0" applyFont="1" applyFill="1" applyAlignment="1">
      <alignment/>
    </xf>
    <xf numFmtId="3" fontId="37" fillId="0" borderId="23" xfId="0" applyNumberFormat="1" applyFont="1" applyFill="1" applyBorder="1" applyAlignment="1">
      <alignment vertical="center"/>
    </xf>
    <xf numFmtId="0" fontId="37" fillId="0" borderId="23" xfId="0" applyFont="1" applyFill="1" applyBorder="1" applyAlignment="1">
      <alignment horizontal="left" vertical="center" wrapText="1"/>
    </xf>
    <xf numFmtId="3" fontId="37" fillId="0" borderId="25" xfId="0" applyNumberFormat="1" applyFont="1" applyFill="1" applyBorder="1" applyAlignment="1">
      <alignment horizontal="right" vertical="center"/>
    </xf>
    <xf numFmtId="0" fontId="39" fillId="0" borderId="23" xfId="0" applyFont="1" applyFill="1" applyBorder="1" applyAlignment="1">
      <alignment horizontal="left" vertical="center" wrapText="1"/>
    </xf>
    <xf numFmtId="0" fontId="32" fillId="0" borderId="23" xfId="169" applyFont="1" applyFill="1" applyBorder="1" applyAlignment="1">
      <alignment horizontal="center" vertical="center"/>
      <protection/>
    </xf>
    <xf numFmtId="3" fontId="29" fillId="0" borderId="23" xfId="181" applyNumberFormat="1" applyFont="1" applyFill="1" applyBorder="1" applyAlignment="1">
      <alignment horizontal="center" vertical="center" wrapText="1"/>
      <protection/>
    </xf>
    <xf numFmtId="49" fontId="29" fillId="0" borderId="23" xfId="181" applyNumberFormat="1" applyFont="1" applyFill="1" applyBorder="1" applyAlignment="1">
      <alignment horizontal="center" vertical="center" wrapText="1"/>
      <protection/>
    </xf>
    <xf numFmtId="49" fontId="29" fillId="0" borderId="23" xfId="181" applyNumberFormat="1" applyFont="1" applyFill="1" applyBorder="1" applyAlignment="1">
      <alignment horizontal="left" vertical="center" wrapText="1"/>
      <protection/>
    </xf>
    <xf numFmtId="0" fontId="30" fillId="0" borderId="23" xfId="0" applyFont="1" applyFill="1" applyBorder="1" applyAlignment="1">
      <alignment horizontal="left" vertical="center"/>
    </xf>
    <xf numFmtId="188" fontId="29" fillId="0" borderId="27" xfId="0" applyNumberFormat="1" applyFont="1" applyFill="1" applyBorder="1" applyAlignment="1">
      <alignment horizontal="center" vertical="center"/>
    </xf>
    <xf numFmtId="0" fontId="40" fillId="0" borderId="23" xfId="0" applyFont="1" applyFill="1" applyBorder="1" applyAlignment="1">
      <alignment horizontal="left" vertical="center" wrapText="1"/>
    </xf>
    <xf numFmtId="3" fontId="37" fillId="0" borderId="25" xfId="0" applyNumberFormat="1" applyFont="1" applyFill="1" applyBorder="1" applyAlignment="1">
      <alignment horizontal="right" vertical="center"/>
    </xf>
    <xf numFmtId="10" fontId="37" fillId="0" borderId="26" xfId="190" applyNumberFormat="1" applyFont="1" applyFill="1" applyBorder="1" applyAlignment="1">
      <alignment horizontal="right" vertical="center"/>
    </xf>
    <xf numFmtId="0" fontId="34" fillId="0" borderId="23" xfId="0" applyFont="1" applyFill="1" applyBorder="1" applyAlignment="1">
      <alignment/>
    </xf>
    <xf numFmtId="0" fontId="37" fillId="0" borderId="23" xfId="0" applyFont="1" applyFill="1" applyBorder="1" applyAlignment="1">
      <alignment horizontal="left" vertical="center" wrapText="1"/>
    </xf>
    <xf numFmtId="0" fontId="106" fillId="0" borderId="25" xfId="0" applyFont="1" applyFill="1" applyBorder="1" applyAlignment="1">
      <alignment vertical="center" wrapText="1"/>
    </xf>
    <xf numFmtId="0" fontId="107" fillId="0" borderId="25" xfId="0" applyFont="1" applyFill="1" applyBorder="1" applyAlignment="1">
      <alignment vertical="center" wrapText="1"/>
    </xf>
    <xf numFmtId="0" fontId="108" fillId="0" borderId="23" xfId="0" applyFont="1" applyFill="1" applyBorder="1" applyAlignment="1">
      <alignment horizontal="center" vertical="center" wrapText="1"/>
    </xf>
    <xf numFmtId="0" fontId="108" fillId="0" borderId="23" xfId="0" applyFont="1" applyFill="1" applyBorder="1" applyAlignment="1">
      <alignment vertical="center" wrapText="1"/>
    </xf>
    <xf numFmtId="0" fontId="106" fillId="0" borderId="28" xfId="0" applyFont="1" applyFill="1" applyBorder="1" applyAlignment="1">
      <alignment vertical="center" wrapText="1"/>
    </xf>
    <xf numFmtId="0" fontId="106" fillId="0" borderId="23" xfId="0" applyFont="1" applyFill="1" applyBorder="1" applyAlignment="1">
      <alignment vertical="center" wrapText="1"/>
    </xf>
    <xf numFmtId="0" fontId="106" fillId="0" borderId="24" xfId="0" applyFont="1" applyFill="1" applyBorder="1" applyAlignment="1">
      <alignment vertical="center" wrapText="1"/>
    </xf>
    <xf numFmtId="171" fontId="107" fillId="0" borderId="25" xfId="0" applyNumberFormat="1" applyFont="1" applyFill="1" applyBorder="1" applyAlignment="1">
      <alignment vertical="center" wrapText="1"/>
    </xf>
    <xf numFmtId="171" fontId="106" fillId="0" borderId="24" xfId="0" applyNumberFormat="1" applyFont="1" applyFill="1" applyBorder="1" applyAlignment="1">
      <alignment vertical="center" wrapText="1"/>
    </xf>
    <xf numFmtId="171" fontId="106" fillId="0" borderId="23" xfId="0" applyNumberFormat="1" applyFont="1" applyFill="1" applyBorder="1" applyAlignment="1">
      <alignment vertical="center" wrapText="1"/>
    </xf>
    <xf numFmtId="171" fontId="108" fillId="0" borderId="23" xfId="0" applyNumberFormat="1" applyFont="1" applyFill="1" applyBorder="1" applyAlignment="1">
      <alignment vertical="center" wrapText="1"/>
    </xf>
    <xf numFmtId="171" fontId="108" fillId="0" borderId="23" xfId="0" applyNumberFormat="1" applyFont="1" applyFill="1" applyBorder="1" applyAlignment="1">
      <alignment horizontal="center" vertical="center"/>
    </xf>
    <xf numFmtId="0" fontId="105" fillId="0" borderId="23" xfId="0" applyFont="1" applyFill="1" applyBorder="1" applyAlignment="1">
      <alignment horizontal="center"/>
    </xf>
    <xf numFmtId="171" fontId="108" fillId="0" borderId="27" xfId="0" applyNumberFormat="1" applyFont="1" applyFill="1" applyBorder="1" applyAlignment="1">
      <alignment vertical="center" wrapText="1"/>
    </xf>
    <xf numFmtId="0" fontId="109" fillId="0" borderId="23" xfId="0" applyFont="1" applyFill="1" applyBorder="1" applyAlignment="1">
      <alignment horizontal="center" vertical="center"/>
    </xf>
    <xf numFmtId="3" fontId="29" fillId="0" borderId="25" xfId="0" applyNumberFormat="1" applyFont="1" applyFill="1" applyBorder="1" applyAlignment="1">
      <alignment horizontal="right" vertical="center"/>
    </xf>
    <xf numFmtId="0" fontId="109" fillId="0" borderId="23" xfId="0" applyFont="1" applyFill="1" applyBorder="1" applyAlignment="1">
      <alignment horizontal="left" vertical="center" wrapText="1"/>
    </xf>
    <xf numFmtId="0" fontId="109" fillId="0" borderId="23" xfId="0" applyFont="1" applyFill="1" applyBorder="1" applyAlignment="1">
      <alignment horizontal="left" vertical="center"/>
    </xf>
    <xf numFmtId="0" fontId="109" fillId="0" borderId="23" xfId="0" applyFont="1" applyFill="1" applyBorder="1" applyAlignment="1">
      <alignment vertical="center"/>
    </xf>
    <xf numFmtId="0" fontId="109" fillId="0" borderId="23" xfId="0" applyFont="1" applyFill="1" applyBorder="1" applyAlignment="1">
      <alignment vertical="center" wrapText="1"/>
    </xf>
    <xf numFmtId="181" fontId="29" fillId="0" borderId="23" xfId="0" applyNumberFormat="1" applyFont="1" applyFill="1" applyBorder="1" applyAlignment="1">
      <alignment horizontal="center" vertical="center"/>
    </xf>
    <xf numFmtId="176" fontId="30" fillId="0" borderId="23" xfId="99" applyNumberFormat="1" applyFont="1" applyFill="1" applyBorder="1" applyAlignment="1">
      <alignment vertical="center" wrapText="1"/>
    </xf>
    <xf numFmtId="176" fontId="30" fillId="0" borderId="23" xfId="99" applyNumberFormat="1" applyFont="1" applyFill="1" applyBorder="1" applyAlignment="1">
      <alignment horizontal="center" vertical="center" wrapText="1"/>
    </xf>
    <xf numFmtId="3" fontId="29" fillId="0" borderId="23" xfId="0" applyNumberFormat="1" applyFont="1" applyFill="1" applyBorder="1" applyAlignment="1">
      <alignment vertical="center" wrapText="1"/>
    </xf>
    <xf numFmtId="3" fontId="30" fillId="0" borderId="23" xfId="99" applyNumberFormat="1" applyFont="1" applyFill="1" applyBorder="1" applyAlignment="1">
      <alignment vertical="center"/>
    </xf>
    <xf numFmtId="3" fontId="29" fillId="0" borderId="23" xfId="99" applyNumberFormat="1" applyFont="1" applyFill="1" applyBorder="1" applyAlignment="1">
      <alignment vertical="center"/>
    </xf>
    <xf numFmtId="176" fontId="29" fillId="0" borderId="23" xfId="115" applyNumberFormat="1" applyFont="1" applyFill="1" applyBorder="1" applyAlignment="1">
      <alignment vertical="center"/>
    </xf>
    <xf numFmtId="176" fontId="29" fillId="0" borderId="25" xfId="99" applyNumberFormat="1" applyFont="1" applyFill="1" applyBorder="1" applyAlignment="1">
      <alignment vertical="center"/>
    </xf>
    <xf numFmtId="176" fontId="29" fillId="0" borderId="23" xfId="99" applyNumberFormat="1" applyFont="1" applyFill="1" applyBorder="1" applyAlignment="1">
      <alignment vertical="center"/>
    </xf>
    <xf numFmtId="3" fontId="37" fillId="0" borderId="25" xfId="0" applyNumberFormat="1" applyFont="1" applyFill="1" applyBorder="1" applyAlignment="1">
      <alignment vertical="center"/>
    </xf>
    <xf numFmtId="176" fontId="108" fillId="0" borderId="23" xfId="99" applyNumberFormat="1" applyFont="1" applyFill="1" applyBorder="1" applyAlignment="1">
      <alignment vertical="center" wrapText="1"/>
    </xf>
    <xf numFmtId="0" fontId="108" fillId="0" borderId="28" xfId="0" applyFont="1" applyFill="1" applyBorder="1" applyAlignment="1">
      <alignment vertical="center" wrapText="1"/>
    </xf>
    <xf numFmtId="176" fontId="109" fillId="0" borderId="23" xfId="99" applyNumberFormat="1" applyFont="1" applyFill="1" applyBorder="1" applyAlignment="1">
      <alignment vertical="center" wrapText="1"/>
    </xf>
    <xf numFmtId="0" fontId="108" fillId="0" borderId="24" xfId="0" applyFont="1" applyFill="1" applyBorder="1" applyAlignment="1">
      <alignment vertical="center" wrapText="1"/>
    </xf>
    <xf numFmtId="0" fontId="37" fillId="0" borderId="23" xfId="0" applyFont="1" applyFill="1" applyBorder="1" applyAlignment="1">
      <alignment horizontal="center" vertical="center" wrapText="1"/>
    </xf>
    <xf numFmtId="49" fontId="29" fillId="0" borderId="23" xfId="0" applyNumberFormat="1" applyFont="1" applyFill="1" applyBorder="1" applyAlignment="1">
      <alignment horizontal="center" vertical="center" wrapText="1"/>
    </xf>
    <xf numFmtId="0" fontId="32" fillId="0" borderId="23" xfId="0" applyFont="1" applyFill="1" applyBorder="1" applyAlignment="1">
      <alignment horizontal="center" vertical="center" wrapText="1"/>
    </xf>
    <xf numFmtId="10" fontId="29" fillId="0" borderId="23" xfId="0" applyNumberFormat="1" applyFont="1" applyFill="1" applyBorder="1" applyAlignment="1">
      <alignment/>
    </xf>
    <xf numFmtId="0" fontId="29" fillId="77" borderId="23" xfId="0" applyFont="1" applyFill="1" applyBorder="1" applyAlignment="1">
      <alignment horizontal="center" vertical="center"/>
    </xf>
    <xf numFmtId="10" fontId="37" fillId="77" borderId="26" xfId="190" applyNumberFormat="1" applyFont="1" applyFill="1" applyBorder="1" applyAlignment="1">
      <alignment horizontal="right" vertical="center"/>
    </xf>
    <xf numFmtId="0" fontId="29" fillId="77" borderId="23" xfId="0" applyFont="1" applyFill="1" applyBorder="1" applyAlignment="1">
      <alignment/>
    </xf>
    <xf numFmtId="3" fontId="29" fillId="77" borderId="23" xfId="0" applyNumberFormat="1" applyFont="1" applyFill="1" applyBorder="1" applyAlignment="1">
      <alignment vertical="center" wrapText="1"/>
    </xf>
    <xf numFmtId="3" fontId="29" fillId="77" borderId="23" xfId="0" applyNumberFormat="1" applyFont="1" applyFill="1" applyBorder="1" applyAlignment="1">
      <alignment horizontal="right" vertical="center" wrapText="1"/>
    </xf>
    <xf numFmtId="0" fontId="29" fillId="77" borderId="23" xfId="169" applyFont="1" applyFill="1" applyBorder="1" applyAlignment="1">
      <alignment horizontal="center" vertical="center"/>
      <protection/>
    </xf>
    <xf numFmtId="49" fontId="29" fillId="77" borderId="23" xfId="169" applyNumberFormat="1" applyFont="1" applyFill="1" applyBorder="1" applyAlignment="1">
      <alignment horizontal="left" vertical="center" wrapText="1"/>
      <protection/>
    </xf>
    <xf numFmtId="10" fontId="37" fillId="0" borderId="23" xfId="190" applyNumberFormat="1" applyFont="1" applyFill="1" applyBorder="1" applyAlignment="1">
      <alignment horizontal="right" vertical="center"/>
    </xf>
    <xf numFmtId="0" fontId="97" fillId="0" borderId="23" xfId="0" applyFont="1" applyFill="1" applyBorder="1" applyAlignment="1">
      <alignment horizontal="left" vertical="center" wrapText="1"/>
    </xf>
    <xf numFmtId="0" fontId="97" fillId="0" borderId="25" xfId="0" applyFont="1" applyFill="1" applyBorder="1" applyAlignment="1">
      <alignment horizontal="left" vertical="center" wrapText="1"/>
    </xf>
    <xf numFmtId="49" fontId="29" fillId="0" borderId="23" xfId="169" applyNumberFormat="1" applyFont="1" applyFill="1" applyBorder="1" applyAlignment="1">
      <alignment horizontal="left" vertical="center" wrapText="1"/>
      <protection/>
    </xf>
    <xf numFmtId="3" fontId="34" fillId="0" borderId="25" xfId="0" applyNumberFormat="1" applyFont="1" applyFill="1" applyBorder="1" applyAlignment="1">
      <alignment horizontal="right" vertical="center"/>
    </xf>
    <xf numFmtId="3" fontId="97" fillId="0" borderId="25" xfId="0" applyNumberFormat="1" applyFont="1" applyFill="1" applyBorder="1" applyAlignment="1">
      <alignment horizontal="right" vertical="center"/>
    </xf>
    <xf numFmtId="0" fontId="97" fillId="0" borderId="23" xfId="0" applyFont="1" applyFill="1" applyBorder="1" applyAlignment="1">
      <alignment horizontal="center" vertical="center"/>
    </xf>
    <xf numFmtId="176" fontId="29" fillId="0" borderId="23" xfId="116" applyNumberFormat="1" applyFont="1" applyFill="1" applyBorder="1" applyAlignment="1">
      <alignment vertical="center"/>
    </xf>
    <xf numFmtId="176" fontId="29" fillId="0" borderId="23" xfId="99" applyNumberFormat="1" applyFont="1" applyFill="1" applyBorder="1" applyAlignment="1">
      <alignment horizontal="center" vertical="center"/>
    </xf>
    <xf numFmtId="176" fontId="110" fillId="0" borderId="23" xfId="99" applyNumberFormat="1" applyFont="1" applyFill="1" applyBorder="1" applyAlignment="1">
      <alignment horizontal="center" vertical="center"/>
    </xf>
    <xf numFmtId="0" fontId="110" fillId="0" borderId="23" xfId="0" applyFont="1" applyFill="1" applyBorder="1" applyAlignment="1">
      <alignment horizontal="left" vertical="center" wrapText="1"/>
    </xf>
    <xf numFmtId="0" fontId="4" fillId="0" borderId="23" xfId="0" applyFont="1" applyFill="1" applyBorder="1" applyAlignment="1">
      <alignment horizontal="left" vertical="center" wrapText="1"/>
    </xf>
    <xf numFmtId="0" fontId="4" fillId="0" borderId="23" xfId="0" applyFont="1" applyFill="1" applyBorder="1" applyAlignment="1">
      <alignment horizontal="center" vertical="center"/>
    </xf>
    <xf numFmtId="0" fontId="31" fillId="0" borderId="23" xfId="169" applyFont="1" applyFill="1" applyBorder="1" applyAlignment="1">
      <alignment horizontal="left" vertical="center" wrapText="1"/>
      <protection/>
    </xf>
    <xf numFmtId="3" fontId="29" fillId="0" borderId="23" xfId="99" applyNumberFormat="1" applyFont="1" applyFill="1" applyBorder="1" applyAlignment="1">
      <alignment horizontal="right" vertical="center"/>
    </xf>
    <xf numFmtId="10" fontId="29" fillId="0" borderId="26" xfId="190" applyNumberFormat="1" applyFont="1" applyFill="1" applyBorder="1" applyAlignment="1">
      <alignment horizontal="right" vertical="center"/>
    </xf>
    <xf numFmtId="0" fontId="29" fillId="0" borderId="23" xfId="169" applyFont="1" applyFill="1" applyBorder="1" applyAlignment="1">
      <alignment horizontal="left" vertical="center" wrapText="1"/>
      <protection/>
    </xf>
    <xf numFmtId="3" fontId="30" fillId="0" borderId="25" xfId="99" applyNumberFormat="1" applyFont="1" applyFill="1" applyBorder="1" applyAlignment="1">
      <alignment vertical="center"/>
    </xf>
    <xf numFmtId="49" fontId="30" fillId="0" borderId="23" xfId="0" applyNumberFormat="1" applyFont="1" applyFill="1" applyBorder="1" applyAlignment="1">
      <alignment horizontal="right" vertical="center" wrapText="1"/>
    </xf>
    <xf numFmtId="176" fontId="29" fillId="0" borderId="23" xfId="116" applyNumberFormat="1" applyFont="1" applyFill="1" applyBorder="1" applyAlignment="1">
      <alignment horizontal="right" vertical="center"/>
    </xf>
    <xf numFmtId="3" fontId="30" fillId="0" borderId="25" xfId="99" applyNumberFormat="1" applyFont="1" applyFill="1" applyBorder="1" applyAlignment="1">
      <alignment horizontal="right" vertical="center"/>
    </xf>
    <xf numFmtId="180" fontId="29" fillId="0" borderId="23" xfId="99" applyNumberFormat="1" applyFont="1" applyFill="1" applyBorder="1" applyAlignment="1">
      <alignment horizontal="right" vertical="center"/>
    </xf>
    <xf numFmtId="176" fontId="110" fillId="0" borderId="23" xfId="99" applyNumberFormat="1" applyFont="1" applyFill="1" applyBorder="1" applyAlignment="1">
      <alignment horizontal="right" vertical="center"/>
    </xf>
    <xf numFmtId="0" fontId="30" fillId="0" borderId="23" xfId="0" applyFont="1" applyFill="1" applyBorder="1" applyAlignment="1">
      <alignment horizontal="right" vertical="center"/>
    </xf>
    <xf numFmtId="3" fontId="29" fillId="0" borderId="23" xfId="168" applyNumberFormat="1" applyFont="1" applyFill="1" applyBorder="1" applyAlignment="1">
      <alignment horizontal="right" vertical="center"/>
      <protection/>
    </xf>
    <xf numFmtId="3" fontId="37" fillId="0" borderId="23" xfId="0" applyNumberFormat="1" applyFont="1" applyFill="1" applyBorder="1" applyAlignment="1">
      <alignment horizontal="right" vertical="center"/>
    </xf>
    <xf numFmtId="0" fontId="105" fillId="0" borderId="0" xfId="0" applyFont="1" applyFill="1" applyAlignment="1">
      <alignment horizontal="right" vertical="center"/>
    </xf>
    <xf numFmtId="176" fontId="108" fillId="0" borderId="23" xfId="99" applyNumberFormat="1" applyFont="1" applyFill="1" applyBorder="1" applyAlignment="1">
      <alignment horizontal="right" vertical="center" wrapText="1"/>
    </xf>
    <xf numFmtId="0" fontId="108" fillId="0" borderId="28" xfId="0" applyFont="1" applyFill="1" applyBorder="1" applyAlignment="1">
      <alignment horizontal="right" vertical="center" wrapText="1"/>
    </xf>
    <xf numFmtId="176" fontId="109" fillId="0" borderId="23" xfId="99" applyNumberFormat="1" applyFont="1" applyFill="1" applyBorder="1" applyAlignment="1">
      <alignment horizontal="right" vertical="center" wrapText="1"/>
    </xf>
    <xf numFmtId="0" fontId="108" fillId="0" borderId="24" xfId="0" applyFont="1" applyFill="1" applyBorder="1" applyAlignment="1">
      <alignment horizontal="right" vertical="center" wrapText="1"/>
    </xf>
    <xf numFmtId="0" fontId="108" fillId="0" borderId="23" xfId="0" applyFont="1" applyFill="1" applyBorder="1" applyAlignment="1">
      <alignment horizontal="right" vertical="center" wrapText="1"/>
    </xf>
    <xf numFmtId="171" fontId="108" fillId="0" borderId="23" xfId="0" applyNumberFormat="1" applyFont="1" applyFill="1" applyBorder="1" applyAlignment="1">
      <alignment horizontal="right" vertical="center" wrapText="1"/>
    </xf>
    <xf numFmtId="3" fontId="109" fillId="0" borderId="23" xfId="99" applyNumberFormat="1" applyFont="1" applyFill="1" applyBorder="1" applyAlignment="1">
      <alignment horizontal="right" vertical="center"/>
    </xf>
    <xf numFmtId="171" fontId="108" fillId="0" borderId="23" xfId="0" applyNumberFormat="1" applyFont="1" applyFill="1" applyBorder="1" applyAlignment="1">
      <alignment horizontal="center" vertical="center" wrapText="1"/>
    </xf>
    <xf numFmtId="0" fontId="29" fillId="0" borderId="26" xfId="0" applyFont="1" applyFill="1" applyBorder="1" applyAlignment="1">
      <alignment horizontal="center" vertical="center" wrapText="1"/>
    </xf>
    <xf numFmtId="0" fontId="29" fillId="0" borderId="29" xfId="0" applyFont="1" applyFill="1" applyBorder="1" applyAlignment="1">
      <alignment horizontal="center" vertical="center" wrapText="1"/>
    </xf>
    <xf numFmtId="0" fontId="29" fillId="0" borderId="27" xfId="0" applyFont="1" applyFill="1" applyBorder="1" applyAlignment="1">
      <alignment horizontal="center" vertical="center" wrapText="1"/>
    </xf>
    <xf numFmtId="49" fontId="29" fillId="77" borderId="26" xfId="0" applyNumberFormat="1" applyFont="1" applyFill="1" applyBorder="1" applyAlignment="1">
      <alignment horizontal="center" vertical="center" wrapText="1"/>
    </xf>
    <xf numFmtId="49" fontId="29" fillId="77" borderId="29" xfId="0" applyNumberFormat="1" applyFont="1" applyFill="1" applyBorder="1" applyAlignment="1">
      <alignment horizontal="center" vertical="center" wrapText="1"/>
    </xf>
    <xf numFmtId="49" fontId="29" fillId="77" borderId="27" xfId="0" applyNumberFormat="1" applyFont="1" applyFill="1" applyBorder="1" applyAlignment="1">
      <alignment horizontal="center" vertical="center" wrapText="1"/>
    </xf>
    <xf numFmtId="49" fontId="29" fillId="0" borderId="26" xfId="0" applyNumberFormat="1" applyFont="1" applyFill="1" applyBorder="1" applyAlignment="1">
      <alignment horizontal="center" vertical="center" wrapText="1"/>
    </xf>
    <xf numFmtId="49" fontId="29" fillId="0" borderId="29" xfId="0" applyNumberFormat="1" applyFont="1" applyFill="1" applyBorder="1" applyAlignment="1">
      <alignment horizontal="center" vertical="center" wrapText="1"/>
    </xf>
    <xf numFmtId="49" fontId="29" fillId="0" borderId="27" xfId="0" applyNumberFormat="1" applyFont="1" applyFill="1" applyBorder="1" applyAlignment="1">
      <alignment horizontal="center" vertical="center" wrapText="1"/>
    </xf>
    <xf numFmtId="0" fontId="29" fillId="0" borderId="26" xfId="0" applyFont="1" applyFill="1" applyBorder="1" applyAlignment="1">
      <alignment horizontal="center" vertical="center" wrapText="1"/>
    </xf>
    <xf numFmtId="0" fontId="29" fillId="0" borderId="29" xfId="0" applyFont="1" applyFill="1" applyBorder="1" applyAlignment="1">
      <alignment horizontal="center" vertical="center" wrapText="1"/>
    </xf>
    <xf numFmtId="0" fontId="29" fillId="0" borderId="27" xfId="0" applyFont="1" applyFill="1" applyBorder="1" applyAlignment="1">
      <alignment horizontal="center" vertical="center" wrapText="1"/>
    </xf>
    <xf numFmtId="49" fontId="29" fillId="0" borderId="23" xfId="0" applyNumberFormat="1" applyFont="1" applyFill="1" applyBorder="1" applyAlignment="1">
      <alignment horizontal="center" vertical="center" wrapText="1"/>
    </xf>
    <xf numFmtId="171" fontId="108" fillId="0" borderId="26" xfId="0" applyNumberFormat="1" applyFont="1" applyFill="1" applyBorder="1" applyAlignment="1">
      <alignment horizontal="center" vertical="center" wrapText="1"/>
    </xf>
    <xf numFmtId="171" fontId="108" fillId="0" borderId="29" xfId="0" applyNumberFormat="1" applyFont="1" applyFill="1" applyBorder="1" applyAlignment="1">
      <alignment horizontal="center" vertical="center" wrapText="1"/>
    </xf>
    <xf numFmtId="171" fontId="108" fillId="0" borderId="27" xfId="0" applyNumberFormat="1" applyFont="1" applyFill="1" applyBorder="1" applyAlignment="1">
      <alignment horizontal="center" vertical="center" wrapText="1"/>
    </xf>
    <xf numFmtId="0" fontId="29" fillId="0" borderId="23" xfId="0" applyFont="1" applyFill="1" applyBorder="1" applyAlignment="1">
      <alignment horizontal="center" vertical="center" wrapText="1"/>
    </xf>
    <xf numFmtId="171" fontId="108" fillId="0" borderId="30" xfId="0" applyNumberFormat="1" applyFont="1" applyFill="1" applyBorder="1" applyAlignment="1">
      <alignment horizontal="center" vertical="center" wrapText="1"/>
    </xf>
    <xf numFmtId="171" fontId="108" fillId="0" borderId="31" xfId="0" applyNumberFormat="1" applyFont="1" applyFill="1" applyBorder="1" applyAlignment="1">
      <alignment horizontal="center" vertical="center" wrapText="1"/>
    </xf>
    <xf numFmtId="171" fontId="108" fillId="0" borderId="32" xfId="0" applyNumberFormat="1" applyFont="1" applyFill="1" applyBorder="1" applyAlignment="1">
      <alignment horizontal="center" vertical="center" wrapText="1"/>
    </xf>
    <xf numFmtId="0" fontId="29" fillId="77" borderId="26" xfId="0" applyFont="1" applyFill="1" applyBorder="1" applyAlignment="1">
      <alignment horizontal="center" vertical="center" wrapText="1"/>
    </xf>
    <xf numFmtId="0" fontId="29" fillId="77" borderId="29" xfId="0" applyFont="1" applyFill="1" applyBorder="1" applyAlignment="1">
      <alignment horizontal="center" vertical="center" wrapText="1"/>
    </xf>
    <xf numFmtId="188" fontId="29" fillId="0" borderId="26" xfId="0" applyNumberFormat="1" applyFont="1" applyFill="1" applyBorder="1" applyAlignment="1">
      <alignment horizontal="center" vertical="center"/>
    </xf>
    <xf numFmtId="188" fontId="29" fillId="0" borderId="29" xfId="0" applyNumberFormat="1" applyFont="1" applyFill="1" applyBorder="1" applyAlignment="1">
      <alignment horizontal="center" vertical="center"/>
    </xf>
    <xf numFmtId="188" fontId="29" fillId="0" borderId="27" xfId="0" applyNumberFormat="1" applyFont="1" applyFill="1" applyBorder="1" applyAlignment="1">
      <alignment horizontal="center" vertical="center"/>
    </xf>
    <xf numFmtId="49" fontId="29" fillId="0" borderId="26" xfId="0" applyNumberFormat="1" applyFont="1" applyFill="1" applyBorder="1" applyAlignment="1">
      <alignment horizontal="center" vertical="center"/>
    </xf>
    <xf numFmtId="49" fontId="29" fillId="0" borderId="29" xfId="0" applyNumberFormat="1" applyFont="1" applyFill="1" applyBorder="1" applyAlignment="1">
      <alignment horizontal="center" vertical="center"/>
    </xf>
    <xf numFmtId="49" fontId="29" fillId="0" borderId="27" xfId="0" applyNumberFormat="1" applyFont="1" applyFill="1" applyBorder="1" applyAlignment="1">
      <alignment horizontal="center" vertical="center"/>
    </xf>
    <xf numFmtId="171" fontId="108" fillId="0" borderId="33" xfId="0" applyNumberFormat="1" applyFont="1" applyFill="1" applyBorder="1" applyAlignment="1">
      <alignment horizontal="center" vertical="center" wrapText="1"/>
    </xf>
    <xf numFmtId="171" fontId="108" fillId="0" borderId="34" xfId="0" applyNumberFormat="1" applyFont="1" applyFill="1" applyBorder="1" applyAlignment="1">
      <alignment horizontal="center" vertical="center" wrapText="1"/>
    </xf>
    <xf numFmtId="171" fontId="108" fillId="0" borderId="35" xfId="0" applyNumberFormat="1" applyFont="1" applyFill="1" applyBorder="1" applyAlignment="1">
      <alignment horizontal="center" vertical="center" wrapText="1"/>
    </xf>
    <xf numFmtId="0" fontId="37" fillId="0" borderId="23" xfId="0" applyFont="1" applyFill="1" applyBorder="1" applyAlignment="1">
      <alignment horizontal="center" vertical="center" wrapText="1"/>
    </xf>
    <xf numFmtId="0" fontId="37" fillId="0" borderId="26" xfId="0" applyFont="1" applyFill="1" applyBorder="1" applyAlignment="1">
      <alignment horizontal="center" vertical="center" wrapText="1"/>
    </xf>
    <xf numFmtId="0" fontId="37" fillId="0" borderId="29" xfId="0" applyFont="1" applyFill="1" applyBorder="1" applyAlignment="1">
      <alignment horizontal="center" vertical="center" wrapText="1"/>
    </xf>
    <xf numFmtId="0" fontId="37" fillId="0" borderId="27" xfId="0" applyFont="1" applyFill="1" applyBorder="1" applyAlignment="1">
      <alignment horizontal="center" vertical="center" wrapText="1"/>
    </xf>
    <xf numFmtId="171" fontId="108" fillId="0" borderId="23" xfId="0" applyNumberFormat="1" applyFont="1" applyFill="1" applyBorder="1" applyAlignment="1">
      <alignment horizontal="center" vertical="center" wrapText="1"/>
    </xf>
    <xf numFmtId="0" fontId="35" fillId="0" borderId="23" xfId="0" applyFont="1" applyFill="1" applyBorder="1" applyAlignment="1">
      <alignment/>
    </xf>
    <xf numFmtId="49" fontId="29" fillId="0" borderId="26" xfId="0" applyNumberFormat="1" applyFont="1" applyFill="1" applyBorder="1" applyAlignment="1">
      <alignment horizontal="center" vertical="center"/>
    </xf>
    <xf numFmtId="49" fontId="29" fillId="0" borderId="27" xfId="0" applyNumberFormat="1" applyFont="1" applyFill="1" applyBorder="1" applyAlignment="1">
      <alignment horizontal="center" vertical="center"/>
    </xf>
    <xf numFmtId="0" fontId="30" fillId="0" borderId="0" xfId="0" applyFont="1" applyFill="1" applyBorder="1" applyAlignment="1">
      <alignment horizontal="center" vertical="center" wrapText="1"/>
    </xf>
    <xf numFmtId="0" fontId="29" fillId="0" borderId="0" xfId="0" applyFont="1" applyFill="1" applyBorder="1" applyAlignment="1">
      <alignment wrapText="1"/>
    </xf>
    <xf numFmtId="49" fontId="29" fillId="0" borderId="23" xfId="0" applyNumberFormat="1" applyFont="1" applyFill="1" applyBorder="1" applyAlignment="1">
      <alignment horizontal="left" vertical="center"/>
    </xf>
    <xf numFmtId="0" fontId="29" fillId="0" borderId="26" xfId="0" applyFont="1" applyFill="1" applyBorder="1" applyAlignment="1">
      <alignment horizontal="center" vertical="center"/>
    </xf>
    <xf numFmtId="0" fontId="29" fillId="0" borderId="27" xfId="0" applyFont="1" applyFill="1" applyBorder="1" applyAlignment="1">
      <alignment horizontal="center" vertical="center"/>
    </xf>
    <xf numFmtId="49" fontId="29" fillId="0" borderId="23" xfId="0" applyNumberFormat="1" applyFont="1" applyFill="1" applyBorder="1" applyAlignment="1">
      <alignment horizontal="center" vertical="center"/>
    </xf>
    <xf numFmtId="0" fontId="29" fillId="0" borderId="23" xfId="0" applyFont="1" applyFill="1" applyBorder="1" applyAlignment="1">
      <alignment horizontal="center" vertical="center"/>
    </xf>
    <xf numFmtId="0" fontId="29" fillId="0" borderId="25" xfId="0" applyFont="1" applyFill="1" applyBorder="1" applyAlignment="1">
      <alignment horizontal="left" vertical="center" wrapText="1"/>
    </xf>
    <xf numFmtId="0" fontId="29" fillId="0" borderId="28" xfId="0" applyFont="1" applyFill="1" applyBorder="1" applyAlignment="1">
      <alignment horizontal="left" vertical="center"/>
    </xf>
    <xf numFmtId="0" fontId="29" fillId="0" borderId="24" xfId="0" applyFont="1" applyFill="1" applyBorder="1" applyAlignment="1">
      <alignment horizontal="left" vertical="center"/>
    </xf>
    <xf numFmtId="49" fontId="29" fillId="0" borderId="29" xfId="0" applyNumberFormat="1" applyFont="1" applyFill="1" applyBorder="1" applyAlignment="1">
      <alignment horizontal="center" vertical="center"/>
    </xf>
    <xf numFmtId="0" fontId="34" fillId="0" borderId="23" xfId="0" applyFont="1" applyFill="1" applyBorder="1" applyAlignment="1">
      <alignment horizontal="left" vertical="center" wrapText="1"/>
    </xf>
    <xf numFmtId="3" fontId="97" fillId="0" borderId="25" xfId="0" applyNumberFormat="1" applyFont="1" applyFill="1" applyBorder="1" applyAlignment="1">
      <alignment vertical="center"/>
    </xf>
    <xf numFmtId="3" fontId="29" fillId="0" borderId="23" xfId="0" applyNumberFormat="1" applyFont="1" applyFill="1" applyBorder="1" applyAlignment="1">
      <alignment vertical="center" wrapText="1"/>
    </xf>
    <xf numFmtId="180" fontId="29" fillId="0" borderId="23" xfId="99" applyNumberFormat="1" applyFont="1" applyFill="1" applyBorder="1" applyAlignment="1">
      <alignment/>
    </xf>
    <xf numFmtId="181" fontId="108" fillId="0" borderId="23" xfId="0" applyNumberFormat="1" applyFont="1" applyFill="1" applyBorder="1" applyAlignment="1">
      <alignment horizontal="right" vertical="center"/>
    </xf>
    <xf numFmtId="181" fontId="108" fillId="0" borderId="23" xfId="0" applyNumberFormat="1" applyFont="1" applyFill="1" applyBorder="1" applyAlignment="1">
      <alignment vertical="center"/>
    </xf>
    <xf numFmtId="0" fontId="105" fillId="0" borderId="0" xfId="0" applyFont="1" applyFill="1" applyAlignment="1">
      <alignment vertical="center"/>
    </xf>
    <xf numFmtId="176" fontId="29" fillId="0" borderId="23" xfId="117" applyNumberFormat="1" applyFont="1" applyFill="1" applyBorder="1" applyAlignment="1">
      <alignment vertical="center"/>
    </xf>
    <xf numFmtId="10" fontId="29" fillId="0" borderId="23" xfId="0" applyNumberFormat="1" applyFont="1" applyFill="1" applyBorder="1" applyAlignment="1">
      <alignment/>
    </xf>
  </cellXfs>
  <cellStyles count="189">
    <cellStyle name="Normal" xfId="0"/>
    <cellStyle name="20% - Accent1" xfId="15"/>
    <cellStyle name="20% - Accent1 2" xfId="16"/>
    <cellStyle name="20% - Accent1 3" xfId="17"/>
    <cellStyle name="20% - Accent2" xfId="18"/>
    <cellStyle name="20% - Accent2 2" xfId="19"/>
    <cellStyle name="20% - Accent2 3" xfId="20"/>
    <cellStyle name="20% - Accent3" xfId="21"/>
    <cellStyle name="20% - Accent3 2" xfId="22"/>
    <cellStyle name="20% - Accent3 3" xfId="23"/>
    <cellStyle name="20% - Accent4" xfId="24"/>
    <cellStyle name="20% - Accent4 2" xfId="25"/>
    <cellStyle name="20% - Accent4 3" xfId="26"/>
    <cellStyle name="20% - Accent5" xfId="27"/>
    <cellStyle name="20% - Accent5 2" xfId="28"/>
    <cellStyle name="20% - Accent5 3" xfId="29"/>
    <cellStyle name="20% - Accent6" xfId="30"/>
    <cellStyle name="20% - Accent6 2" xfId="31"/>
    <cellStyle name="20% - Accent6 3" xfId="32"/>
    <cellStyle name="40% - Accent1" xfId="33"/>
    <cellStyle name="40% - Accent1 2" xfId="34"/>
    <cellStyle name="40% - Accent1 3" xfId="35"/>
    <cellStyle name="40% - Accent2" xfId="36"/>
    <cellStyle name="40% - Accent2 2" xfId="37"/>
    <cellStyle name="40% - Accent2 3" xfId="38"/>
    <cellStyle name="40% - Accent3" xfId="39"/>
    <cellStyle name="40% - Accent3 2" xfId="40"/>
    <cellStyle name="40% - Accent3 3" xfId="41"/>
    <cellStyle name="40% - Accent4" xfId="42"/>
    <cellStyle name="40% - Accent4 2" xfId="43"/>
    <cellStyle name="40% - Accent4 3" xfId="44"/>
    <cellStyle name="40% - Accent5" xfId="45"/>
    <cellStyle name="40% - Accent5 2" xfId="46"/>
    <cellStyle name="40% - Accent5 3" xfId="47"/>
    <cellStyle name="40% - Accent6" xfId="48"/>
    <cellStyle name="40% - Accent6 2" xfId="49"/>
    <cellStyle name="40% - Accent6 3" xfId="50"/>
    <cellStyle name="60% - Accent1" xfId="51"/>
    <cellStyle name="60% - Accent1 2" xfId="52"/>
    <cellStyle name="60% - Accent1 3" xfId="53"/>
    <cellStyle name="60% - Accent2" xfId="54"/>
    <cellStyle name="60% - Accent2 2" xfId="55"/>
    <cellStyle name="60% - Accent2 3" xfId="56"/>
    <cellStyle name="60% - Accent3" xfId="57"/>
    <cellStyle name="60% - Accent3 2" xfId="58"/>
    <cellStyle name="60% - Accent3 3" xfId="59"/>
    <cellStyle name="60% - Accent4" xfId="60"/>
    <cellStyle name="60% - Accent4 2" xfId="61"/>
    <cellStyle name="60% - Accent4 3" xfId="62"/>
    <cellStyle name="60% - Accent5" xfId="63"/>
    <cellStyle name="60% - Accent5 2" xfId="64"/>
    <cellStyle name="60% - Accent5 3" xfId="65"/>
    <cellStyle name="60% - Accent6" xfId="66"/>
    <cellStyle name="60% - Accent6 2" xfId="67"/>
    <cellStyle name="60% - Accent6 3" xfId="68"/>
    <cellStyle name="Accent1" xfId="69"/>
    <cellStyle name="Accent1 2" xfId="70"/>
    <cellStyle name="Accent1 3" xfId="71"/>
    <cellStyle name="Accent2" xfId="72"/>
    <cellStyle name="Accent2 2" xfId="73"/>
    <cellStyle name="Accent2 3" xfId="74"/>
    <cellStyle name="Accent3" xfId="75"/>
    <cellStyle name="Accent3 2" xfId="76"/>
    <cellStyle name="Accent3 3" xfId="77"/>
    <cellStyle name="Accent4" xfId="78"/>
    <cellStyle name="Accent4 2" xfId="79"/>
    <cellStyle name="Accent4 3" xfId="80"/>
    <cellStyle name="Accent5" xfId="81"/>
    <cellStyle name="Accent5 2" xfId="82"/>
    <cellStyle name="Accent5 3" xfId="83"/>
    <cellStyle name="Accent6" xfId="84"/>
    <cellStyle name="Accent6 2" xfId="85"/>
    <cellStyle name="Accent6 3" xfId="86"/>
    <cellStyle name="AeE­_INQUIRY ¿µ¾÷AßAø " xfId="87"/>
    <cellStyle name="AÞ¸¶ [0]_INQUIRY ¿µ¾÷AßAø " xfId="88"/>
    <cellStyle name="AÞ¸¶_INQUIRY ¿µ¾÷AßAø " xfId="89"/>
    <cellStyle name="Bad" xfId="90"/>
    <cellStyle name="Bad 2" xfId="91"/>
    <cellStyle name="Bad 3" xfId="92"/>
    <cellStyle name="Bad 4" xfId="93"/>
    <cellStyle name="C?AØ_¿µ¾÷CoE² " xfId="94"/>
    <cellStyle name="Calculation" xfId="95"/>
    <cellStyle name="Calculation 2" xfId="96"/>
    <cellStyle name="Calculation 3" xfId="97"/>
    <cellStyle name="Calculation 4" xfId="98"/>
    <cellStyle name="Comma" xfId="99"/>
    <cellStyle name="Comma [0]" xfId="100"/>
    <cellStyle name="Comma 10" xfId="101"/>
    <cellStyle name="Comma 11" xfId="102"/>
    <cellStyle name="Comma 2" xfId="103"/>
    <cellStyle name="Comma 2 2" xfId="104"/>
    <cellStyle name="Comma 2 3" xfId="105"/>
    <cellStyle name="Comma 2 4" xfId="106"/>
    <cellStyle name="Comma 3" xfId="107"/>
    <cellStyle name="Comma 3 2" xfId="108"/>
    <cellStyle name="Comma 4" xfId="109"/>
    <cellStyle name="Comma 4 2" xfId="110"/>
    <cellStyle name="Comma 5" xfId="111"/>
    <cellStyle name="Comma 5 2" xfId="112"/>
    <cellStyle name="Comma 6" xfId="113"/>
    <cellStyle name="Comma 6 2" xfId="114"/>
    <cellStyle name="Comma 7" xfId="115"/>
    <cellStyle name="Comma 7 2" xfId="116"/>
    <cellStyle name="Comma 8" xfId="117"/>
    <cellStyle name="Comma 8 2" xfId="118"/>
    <cellStyle name="Comma 9" xfId="119"/>
    <cellStyle name="Comma0" xfId="120"/>
    <cellStyle name="Comma0 2" xfId="121"/>
    <cellStyle name="Currency" xfId="122"/>
    <cellStyle name="Currency [0]" xfId="123"/>
    <cellStyle name="Currency0" xfId="124"/>
    <cellStyle name="Currency0 2" xfId="125"/>
    <cellStyle name="Check Cell" xfId="126"/>
    <cellStyle name="Check Cell 2" xfId="127"/>
    <cellStyle name="Check Cell 3" xfId="128"/>
    <cellStyle name="Date" xfId="129"/>
    <cellStyle name="Date 2" xfId="130"/>
    <cellStyle name="Explanatory Text" xfId="131"/>
    <cellStyle name="Explanatory Text 2" xfId="132"/>
    <cellStyle name="Explanatory Text 3" xfId="133"/>
    <cellStyle name="Explanatory Text 4" xfId="134"/>
    <cellStyle name="Fixed" xfId="135"/>
    <cellStyle name="Fixed 2" xfId="136"/>
    <cellStyle name="Followed Hyperlink" xfId="137"/>
    <cellStyle name="Good" xfId="138"/>
    <cellStyle name="Good 2" xfId="139"/>
    <cellStyle name="Good 3" xfId="140"/>
    <cellStyle name="Good 4" xfId="141"/>
    <cellStyle name="Heading 1" xfId="142"/>
    <cellStyle name="Heading 1 2" xfId="143"/>
    <cellStyle name="Heading 1 3" xfId="144"/>
    <cellStyle name="Heading 2" xfId="145"/>
    <cellStyle name="Heading 2 2" xfId="146"/>
    <cellStyle name="Heading 2 3" xfId="147"/>
    <cellStyle name="Heading 3" xfId="148"/>
    <cellStyle name="Heading 3 2" xfId="149"/>
    <cellStyle name="Heading 3 3" xfId="150"/>
    <cellStyle name="Heading 4" xfId="151"/>
    <cellStyle name="Heading 4 2" xfId="152"/>
    <cellStyle name="Heading 4 3" xfId="153"/>
    <cellStyle name="Hyperlink" xfId="154"/>
    <cellStyle name="Input" xfId="155"/>
    <cellStyle name="Input 2" xfId="156"/>
    <cellStyle name="Input 3" xfId="157"/>
    <cellStyle name="Input 4" xfId="158"/>
    <cellStyle name="Linked Cell" xfId="159"/>
    <cellStyle name="Linked Cell 2" xfId="160"/>
    <cellStyle name="Linked Cell 3" xfId="161"/>
    <cellStyle name="Linked Cell 4" xfId="162"/>
    <cellStyle name="Neutral" xfId="163"/>
    <cellStyle name="Neutral 2" xfId="164"/>
    <cellStyle name="Neutral 3" xfId="165"/>
    <cellStyle name="Neutral 4" xfId="166"/>
    <cellStyle name="Normal 10" xfId="167"/>
    <cellStyle name="Normal 11" xfId="168"/>
    <cellStyle name="Normal 2" xfId="169"/>
    <cellStyle name="Normal 2 2" xfId="170"/>
    <cellStyle name="Normal 2 2 2" xfId="171"/>
    <cellStyle name="Normal 2 3" xfId="172"/>
    <cellStyle name="Normal 3" xfId="173"/>
    <cellStyle name="Normal 3 2" xfId="174"/>
    <cellStyle name="Normal 4" xfId="175"/>
    <cellStyle name="Normal 5" xfId="176"/>
    <cellStyle name="Normal 6" xfId="177"/>
    <cellStyle name="Normal 7" xfId="178"/>
    <cellStyle name="Normal 8" xfId="179"/>
    <cellStyle name="Normal 9" xfId="180"/>
    <cellStyle name="Normal_Sheet1" xfId="181"/>
    <cellStyle name="Note" xfId="182"/>
    <cellStyle name="Note 2" xfId="183"/>
    <cellStyle name="Note 3" xfId="184"/>
    <cellStyle name="Note 3 2" xfId="185"/>
    <cellStyle name="Output" xfId="186"/>
    <cellStyle name="Output 2" xfId="187"/>
    <cellStyle name="Output 3" xfId="188"/>
    <cellStyle name="Output 4" xfId="189"/>
    <cellStyle name="Percent" xfId="190"/>
    <cellStyle name="Percent 2" xfId="191"/>
    <cellStyle name="Percent 3" xfId="192"/>
    <cellStyle name="Title" xfId="193"/>
    <cellStyle name="Title 2" xfId="194"/>
    <cellStyle name="Title 3" xfId="195"/>
    <cellStyle name="Total" xfId="196"/>
    <cellStyle name="Total 2" xfId="197"/>
    <cellStyle name="Total 3" xfId="198"/>
    <cellStyle name="Warning Text" xfId="199"/>
    <cellStyle name="Warning Text 2" xfId="200"/>
    <cellStyle name="Warning Text 3" xfId="201"/>
    <cellStyle name="Warning Text 4" xfId="20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3279"/>
  <sheetViews>
    <sheetView tabSelected="1" view="pageBreakPreview" zoomScale="85" zoomScaleSheetLayoutView="85" zoomScalePageLayoutView="0" workbookViewId="0" topLeftCell="A1">
      <pane xSplit="2" ySplit="2" topLeftCell="C1295" activePane="bottomRight" state="frozen"/>
      <selection pane="topLeft" activeCell="A1" sqref="A1"/>
      <selection pane="topRight" activeCell="C1" sqref="C1"/>
      <selection pane="bottomLeft" activeCell="A3" sqref="A3"/>
      <selection pane="bottomRight" activeCell="N6" sqref="N6"/>
    </sheetView>
  </sheetViews>
  <sheetFormatPr defaultColWidth="9.140625" defaultRowHeight="15"/>
  <cols>
    <col min="1" max="1" width="7.57421875" style="21" bestFit="1" customWidth="1"/>
    <col min="2" max="2" width="46.421875" style="22" customWidth="1"/>
    <col min="3" max="3" width="7.140625" style="21" bestFit="1" customWidth="1"/>
    <col min="4" max="4" width="24.00390625" style="62" customWidth="1"/>
    <col min="5" max="5" width="16.8515625" style="1" customWidth="1"/>
    <col min="6" max="6" width="16.8515625" style="1" hidden="1" customWidth="1"/>
    <col min="7" max="7" width="10.140625" style="126" hidden="1" customWidth="1"/>
    <col min="8" max="8" width="28.28125" style="21" customWidth="1"/>
    <col min="9" max="9" width="18.57421875" style="56" bestFit="1" customWidth="1"/>
    <col min="10" max="16384" width="9.140625" style="56" customWidth="1"/>
  </cols>
  <sheetData>
    <row r="1" spans="1:9" ht="50.25" customHeight="1">
      <c r="A1" s="270" t="s">
        <v>3267</v>
      </c>
      <c r="B1" s="271"/>
      <c r="C1" s="271"/>
      <c r="D1" s="271"/>
      <c r="E1" s="271"/>
      <c r="F1" s="271"/>
      <c r="G1" s="271"/>
      <c r="H1" s="271"/>
      <c r="I1" s="64"/>
    </row>
    <row r="2" spans="1:8" s="21" customFormat="1" ht="49.5">
      <c r="A2" s="20" t="s">
        <v>973</v>
      </c>
      <c r="B2" s="65" t="s">
        <v>974</v>
      </c>
      <c r="C2" s="66" t="s">
        <v>975</v>
      </c>
      <c r="D2" s="66" t="s">
        <v>1202</v>
      </c>
      <c r="E2" s="214" t="s">
        <v>778</v>
      </c>
      <c r="F2" s="66" t="s">
        <v>1155</v>
      </c>
      <c r="G2" s="123" t="s">
        <v>302</v>
      </c>
      <c r="H2" s="66" t="s">
        <v>976</v>
      </c>
    </row>
    <row r="3" spans="1:9" s="69" customFormat="1" ht="16.5">
      <c r="A3" s="20" t="s">
        <v>977</v>
      </c>
      <c r="B3" s="23" t="s">
        <v>3176</v>
      </c>
      <c r="C3" s="20"/>
      <c r="D3" s="68"/>
      <c r="E3" s="2"/>
      <c r="F3" s="2"/>
      <c r="G3" s="124"/>
      <c r="H3" s="20"/>
      <c r="I3" s="69" t="s">
        <v>1201</v>
      </c>
    </row>
    <row r="4" spans="1:8" s="69" customFormat="1" ht="82.5">
      <c r="A4" s="21">
        <v>1</v>
      </c>
      <c r="B4" s="22" t="s">
        <v>3169</v>
      </c>
      <c r="C4" s="98" t="s">
        <v>979</v>
      </c>
      <c r="D4" s="99"/>
      <c r="E4" s="100">
        <v>35500</v>
      </c>
      <c r="F4" s="100">
        <v>35500</v>
      </c>
      <c r="G4" s="125">
        <f>(E4-F4)/F4</f>
        <v>0</v>
      </c>
      <c r="H4" s="185" t="s">
        <v>3177</v>
      </c>
    </row>
    <row r="5" spans="1:8" s="69" customFormat="1" ht="82.5">
      <c r="A5" s="21">
        <v>2</v>
      </c>
      <c r="B5" s="22" t="s">
        <v>3169</v>
      </c>
      <c r="C5" s="21" t="s">
        <v>979</v>
      </c>
      <c r="D5" s="62" t="s">
        <v>3170</v>
      </c>
      <c r="E5" s="100">
        <v>40900</v>
      </c>
      <c r="F5" s="100">
        <v>40900</v>
      </c>
      <c r="G5" s="125">
        <f aca="true" t="shared" si="0" ref="G5:G10">(E5-F5)/F5</f>
        <v>0</v>
      </c>
      <c r="H5" s="57" t="s">
        <v>3178</v>
      </c>
    </row>
    <row r="6" spans="1:8" s="69" customFormat="1" ht="45" customHeight="1">
      <c r="A6" s="273">
        <v>3</v>
      </c>
      <c r="B6" s="272" t="s">
        <v>3169</v>
      </c>
      <c r="C6" s="21" t="s">
        <v>979</v>
      </c>
      <c r="D6" s="62" t="s">
        <v>3171</v>
      </c>
      <c r="E6" s="100">
        <v>33000</v>
      </c>
      <c r="F6" s="100">
        <v>33000</v>
      </c>
      <c r="G6" s="125">
        <f t="shared" si="0"/>
        <v>0</v>
      </c>
      <c r="H6" s="247" t="s">
        <v>3179</v>
      </c>
    </row>
    <row r="7" spans="1:8" s="69" customFormat="1" ht="45" customHeight="1">
      <c r="A7" s="274"/>
      <c r="B7" s="272"/>
      <c r="C7" s="21" t="s">
        <v>979</v>
      </c>
      <c r="D7" s="62" t="s">
        <v>3172</v>
      </c>
      <c r="E7" s="100">
        <v>38000</v>
      </c>
      <c r="F7" s="100">
        <v>38000</v>
      </c>
      <c r="G7" s="125">
        <f t="shared" si="0"/>
        <v>0</v>
      </c>
      <c r="H7" s="247"/>
    </row>
    <row r="8" spans="1:8" s="69" customFormat="1" ht="99">
      <c r="A8" s="21">
        <v>4</v>
      </c>
      <c r="B8" s="22" t="s">
        <v>3169</v>
      </c>
      <c r="C8" s="21" t="s">
        <v>979</v>
      </c>
      <c r="D8" s="62"/>
      <c r="E8" s="100">
        <v>40000</v>
      </c>
      <c r="F8" s="100">
        <v>40000</v>
      </c>
      <c r="G8" s="125">
        <f t="shared" si="0"/>
        <v>0</v>
      </c>
      <c r="H8" s="57" t="s">
        <v>3180</v>
      </c>
    </row>
    <row r="9" spans="1:8" s="69" customFormat="1" ht="82.5">
      <c r="A9" s="21">
        <v>5</v>
      </c>
      <c r="B9" s="22" t="s">
        <v>3169</v>
      </c>
      <c r="C9" s="21" t="s">
        <v>979</v>
      </c>
      <c r="D9" s="62"/>
      <c r="E9" s="100">
        <v>40628</v>
      </c>
      <c r="F9" s="100">
        <v>40628</v>
      </c>
      <c r="G9" s="125">
        <f t="shared" si="0"/>
        <v>0</v>
      </c>
      <c r="H9" s="57" t="s">
        <v>3181</v>
      </c>
    </row>
    <row r="10" spans="1:8" s="69" customFormat="1" ht="115.5">
      <c r="A10" s="21">
        <v>6</v>
      </c>
      <c r="B10" s="22" t="s">
        <v>3169</v>
      </c>
      <c r="C10" s="21" t="s">
        <v>979</v>
      </c>
      <c r="D10" s="62" t="s">
        <v>3173</v>
      </c>
      <c r="E10" s="100">
        <v>37500</v>
      </c>
      <c r="F10" s="100">
        <v>37500</v>
      </c>
      <c r="G10" s="125">
        <f t="shared" si="0"/>
        <v>0</v>
      </c>
      <c r="H10" s="57" t="s">
        <v>3182</v>
      </c>
    </row>
    <row r="11" spans="1:8" s="69" customFormat="1" ht="119.25" customHeight="1">
      <c r="A11" s="277" t="s">
        <v>3183</v>
      </c>
      <c r="B11" s="278"/>
      <c r="C11" s="278"/>
      <c r="D11" s="278"/>
      <c r="E11" s="278"/>
      <c r="F11" s="278"/>
      <c r="G11" s="278"/>
      <c r="H11" s="279"/>
    </row>
    <row r="12" spans="1:9" s="69" customFormat="1" ht="16.5">
      <c r="A12" s="20" t="s">
        <v>982</v>
      </c>
      <c r="B12" s="23" t="s">
        <v>978</v>
      </c>
      <c r="C12" s="20"/>
      <c r="D12" s="68"/>
      <c r="E12" s="2"/>
      <c r="F12" s="2"/>
      <c r="G12" s="124"/>
      <c r="H12" s="20"/>
      <c r="I12" s="69" t="s">
        <v>1201</v>
      </c>
    </row>
    <row r="13" spans="1:8" ht="66">
      <c r="A13" s="3">
        <v>2</v>
      </c>
      <c r="B13" s="22" t="s">
        <v>2272</v>
      </c>
      <c r="C13" s="21" t="s">
        <v>979</v>
      </c>
      <c r="E13" s="101">
        <f>200000/1.1</f>
        <v>181818.1818181818</v>
      </c>
      <c r="F13" s="101">
        <f>200000/1.1</f>
        <v>181818.1818181818</v>
      </c>
      <c r="G13" s="125">
        <f>(E13-F13)/E13</f>
        <v>0</v>
      </c>
      <c r="H13" s="102" t="s">
        <v>2273</v>
      </c>
    </row>
    <row r="14" spans="1:8" ht="24" customHeight="1">
      <c r="A14" s="3">
        <f>IF(F14="","",COUNTA($F$13:F14))</f>
        <v>2</v>
      </c>
      <c r="B14" s="22" t="s">
        <v>980</v>
      </c>
      <c r="C14" s="21" t="s">
        <v>979</v>
      </c>
      <c r="E14" s="6">
        <v>118182</v>
      </c>
      <c r="F14" s="6">
        <v>118182</v>
      </c>
      <c r="G14" s="125">
        <f>(E14-F14)/E14</f>
        <v>0</v>
      </c>
      <c r="H14" s="240" t="s">
        <v>2308</v>
      </c>
    </row>
    <row r="15" spans="1:8" ht="24" customHeight="1">
      <c r="A15" s="3">
        <f>IF(F15="","",COUNTA($F$13:F15))</f>
        <v>3</v>
      </c>
      <c r="B15" s="22" t="s">
        <v>1412</v>
      </c>
      <c r="C15" s="21" t="s">
        <v>979</v>
      </c>
      <c r="E15" s="6">
        <v>100000</v>
      </c>
      <c r="F15" s="6">
        <v>100000</v>
      </c>
      <c r="G15" s="125">
        <f>(E15-F15)/E15</f>
        <v>0</v>
      </c>
      <c r="H15" s="241"/>
    </row>
    <row r="16" spans="1:8" ht="24" customHeight="1">
      <c r="A16" s="3">
        <f>IF(F16="","",COUNTA($F$13:F16))</f>
        <v>4</v>
      </c>
      <c r="B16" s="22" t="s">
        <v>981</v>
      </c>
      <c r="C16" s="21" t="s">
        <v>979</v>
      </c>
      <c r="E16" s="6">
        <v>70000</v>
      </c>
      <c r="F16" s="6">
        <v>70000</v>
      </c>
      <c r="G16" s="125">
        <f>(E16-F16)/E16</f>
        <v>0</v>
      </c>
      <c r="H16" s="242"/>
    </row>
    <row r="17" spans="1:8" s="69" customFormat="1" ht="16.5">
      <c r="A17" s="20" t="s">
        <v>1011</v>
      </c>
      <c r="B17" s="23" t="s">
        <v>983</v>
      </c>
      <c r="C17" s="20"/>
      <c r="D17" s="68"/>
      <c r="E17" s="2"/>
      <c r="F17" s="2"/>
      <c r="G17" s="125"/>
      <c r="H17" s="20"/>
    </row>
    <row r="18" spans="1:8" s="69" customFormat="1" ht="16.5">
      <c r="A18" s="20" t="s">
        <v>3174</v>
      </c>
      <c r="B18" s="23" t="s">
        <v>987</v>
      </c>
      <c r="C18" s="20"/>
      <c r="D18" s="68"/>
      <c r="E18" s="2"/>
      <c r="F18" s="2"/>
      <c r="G18" s="125"/>
      <c r="H18" s="20"/>
    </row>
    <row r="19" spans="1:8" ht="23.25" customHeight="1">
      <c r="A19" s="3">
        <f>IF(F19="","",COUNTA($F$19:F19))</f>
        <v>1</v>
      </c>
      <c r="B19" s="22" t="s">
        <v>779</v>
      </c>
      <c r="C19" s="21" t="s">
        <v>984</v>
      </c>
      <c r="D19" s="62" t="s">
        <v>47</v>
      </c>
      <c r="E19" s="1">
        <v>2450</v>
      </c>
      <c r="F19" s="1">
        <v>2450</v>
      </c>
      <c r="G19" s="125">
        <f>(E19-F19)/F19</f>
        <v>0</v>
      </c>
      <c r="H19" s="247" t="s">
        <v>42</v>
      </c>
    </row>
    <row r="20" spans="1:8" ht="23.25" customHeight="1">
      <c r="A20" s="3">
        <f>IF(F20="","",COUNTA($F$19:F20))</f>
        <v>2</v>
      </c>
      <c r="B20" s="22" t="s">
        <v>780</v>
      </c>
      <c r="C20" s="21" t="s">
        <v>984</v>
      </c>
      <c r="D20" s="62" t="s">
        <v>48</v>
      </c>
      <c r="E20" s="1">
        <v>1636</v>
      </c>
      <c r="F20" s="1">
        <v>1636</v>
      </c>
      <c r="G20" s="125">
        <f aca="true" t="shared" si="1" ref="G20:G57">(E20-F20)/F20</f>
        <v>0</v>
      </c>
      <c r="H20" s="247"/>
    </row>
    <row r="21" spans="1:8" ht="23.25" customHeight="1">
      <c r="A21" s="3">
        <f>IF(F21="","",COUNTA($F$19:F21))</f>
        <v>3</v>
      </c>
      <c r="B21" s="22" t="s">
        <v>985</v>
      </c>
      <c r="C21" s="21" t="s">
        <v>984</v>
      </c>
      <c r="D21" s="62" t="s">
        <v>49</v>
      </c>
      <c r="E21" s="1">
        <v>1545</v>
      </c>
      <c r="F21" s="1">
        <v>1545</v>
      </c>
      <c r="G21" s="125">
        <f t="shared" si="1"/>
        <v>0</v>
      </c>
      <c r="H21" s="247"/>
    </row>
    <row r="22" spans="1:8" ht="23.25" customHeight="1">
      <c r="A22" s="3">
        <f>IF(F22="","",COUNTA($F$19:F22))</f>
        <v>4</v>
      </c>
      <c r="B22" s="22" t="s">
        <v>1008</v>
      </c>
      <c r="C22" s="21" t="s">
        <v>984</v>
      </c>
      <c r="D22" s="62" t="s">
        <v>50</v>
      </c>
      <c r="E22" s="1">
        <v>1545</v>
      </c>
      <c r="F22" s="1">
        <v>1545</v>
      </c>
      <c r="G22" s="125">
        <f t="shared" si="1"/>
        <v>0</v>
      </c>
      <c r="H22" s="247"/>
    </row>
    <row r="23" spans="1:8" ht="27.75" customHeight="1">
      <c r="A23" s="3">
        <f>IF(F23="","",COUNTA($F$19:F23))</f>
        <v>5</v>
      </c>
      <c r="B23" s="22" t="s">
        <v>779</v>
      </c>
      <c r="C23" s="21" t="s">
        <v>984</v>
      </c>
      <c r="D23" s="62" t="s">
        <v>47</v>
      </c>
      <c r="E23" s="1">
        <v>2181</v>
      </c>
      <c r="F23" s="1">
        <v>2181</v>
      </c>
      <c r="G23" s="125">
        <f t="shared" si="1"/>
        <v>0</v>
      </c>
      <c r="H23" s="247" t="s">
        <v>43</v>
      </c>
    </row>
    <row r="24" spans="1:8" ht="27.75" customHeight="1">
      <c r="A24" s="3">
        <f>IF(F24="","",COUNTA($F$19:F24))</f>
        <v>6</v>
      </c>
      <c r="B24" s="22" t="s">
        <v>780</v>
      </c>
      <c r="C24" s="21" t="s">
        <v>984</v>
      </c>
      <c r="D24" s="62" t="s">
        <v>48</v>
      </c>
      <c r="E24" s="1">
        <v>1363</v>
      </c>
      <c r="F24" s="1">
        <v>1363</v>
      </c>
      <c r="G24" s="125">
        <f t="shared" si="1"/>
        <v>0</v>
      </c>
      <c r="H24" s="247"/>
    </row>
    <row r="25" spans="1:8" ht="27.75" customHeight="1">
      <c r="A25" s="3">
        <f>IF(F25="","",COUNTA($F$19:F25))</f>
        <v>7</v>
      </c>
      <c r="B25" s="22" t="s">
        <v>985</v>
      </c>
      <c r="C25" s="21" t="s">
        <v>984</v>
      </c>
      <c r="D25" s="62" t="s">
        <v>49</v>
      </c>
      <c r="E25" s="1">
        <v>1545</v>
      </c>
      <c r="F25" s="1">
        <v>1545</v>
      </c>
      <c r="G25" s="125">
        <f t="shared" si="1"/>
        <v>0</v>
      </c>
      <c r="H25" s="247"/>
    </row>
    <row r="26" spans="1:8" ht="27.75" customHeight="1">
      <c r="A26" s="3">
        <f>IF(F26="","",COUNTA($F$19:F26))</f>
        <v>8</v>
      </c>
      <c r="B26" s="22" t="s">
        <v>1009</v>
      </c>
      <c r="C26" s="21" t="s">
        <v>984</v>
      </c>
      <c r="D26" s="62" t="s">
        <v>51</v>
      </c>
      <c r="E26" s="1">
        <v>1545</v>
      </c>
      <c r="F26" s="1">
        <v>1545</v>
      </c>
      <c r="G26" s="125">
        <f t="shared" si="1"/>
        <v>0</v>
      </c>
      <c r="H26" s="247"/>
    </row>
    <row r="27" spans="1:8" ht="21.75" customHeight="1">
      <c r="A27" s="3">
        <f>IF(F27="","",COUNTA($F$19:F27))</f>
        <v>9</v>
      </c>
      <c r="B27" s="22" t="s">
        <v>779</v>
      </c>
      <c r="C27" s="21" t="s">
        <v>984</v>
      </c>
      <c r="D27" s="62" t="s">
        <v>47</v>
      </c>
      <c r="E27" s="1">
        <v>2181</v>
      </c>
      <c r="F27" s="1">
        <v>2181</v>
      </c>
      <c r="G27" s="125">
        <f t="shared" si="1"/>
        <v>0</v>
      </c>
      <c r="H27" s="247" t="s">
        <v>3208</v>
      </c>
    </row>
    <row r="28" spans="1:8" ht="21.75" customHeight="1">
      <c r="A28" s="3">
        <f>IF(F28="","",COUNTA($F$19:F28))</f>
        <v>10</v>
      </c>
      <c r="B28" s="22" t="s">
        <v>780</v>
      </c>
      <c r="C28" s="21" t="s">
        <v>984</v>
      </c>
      <c r="D28" s="62" t="s">
        <v>48</v>
      </c>
      <c r="E28" s="1">
        <v>1363</v>
      </c>
      <c r="F28" s="1">
        <v>1363</v>
      </c>
      <c r="G28" s="125">
        <f t="shared" si="1"/>
        <v>0</v>
      </c>
      <c r="H28" s="247"/>
    </row>
    <row r="29" spans="1:8" ht="21.75" customHeight="1">
      <c r="A29" s="3">
        <f>IF(F29="","",COUNTA($F$19:F29))</f>
        <v>11</v>
      </c>
      <c r="B29" s="22" t="s">
        <v>985</v>
      </c>
      <c r="C29" s="21" t="s">
        <v>984</v>
      </c>
      <c r="D29" s="62" t="s">
        <v>49</v>
      </c>
      <c r="E29" s="1">
        <v>1545</v>
      </c>
      <c r="F29" s="1">
        <v>1545</v>
      </c>
      <c r="G29" s="125">
        <f t="shared" si="1"/>
        <v>0</v>
      </c>
      <c r="H29" s="247"/>
    </row>
    <row r="30" spans="1:8" ht="21.75" customHeight="1">
      <c r="A30" s="3">
        <f>IF(F30="","",COUNTA($F$19:F30))</f>
        <v>12</v>
      </c>
      <c r="B30" s="22" t="s">
        <v>1009</v>
      </c>
      <c r="C30" s="21" t="s">
        <v>984</v>
      </c>
      <c r="D30" s="62" t="s">
        <v>50</v>
      </c>
      <c r="E30" s="1">
        <v>1545</v>
      </c>
      <c r="F30" s="1">
        <v>1545</v>
      </c>
      <c r="G30" s="125">
        <f t="shared" si="1"/>
        <v>0</v>
      </c>
      <c r="H30" s="247"/>
    </row>
    <row r="31" spans="1:8" ht="16.5">
      <c r="A31" s="3">
        <f>IF(F31="","",COUNTA($F$19:F31))</f>
        <v>13</v>
      </c>
      <c r="B31" s="22" t="s">
        <v>1506</v>
      </c>
      <c r="C31" s="21" t="s">
        <v>984</v>
      </c>
      <c r="D31" s="62" t="s">
        <v>1502</v>
      </c>
      <c r="E31" s="1">
        <f>1000/1.1</f>
        <v>909.090909090909</v>
      </c>
      <c r="F31" s="1">
        <f>1000/1.1</f>
        <v>909.090909090909</v>
      </c>
      <c r="G31" s="125">
        <f t="shared" si="1"/>
        <v>0</v>
      </c>
      <c r="H31" s="247" t="s">
        <v>1503</v>
      </c>
    </row>
    <row r="32" spans="1:8" ht="16.5">
      <c r="A32" s="3">
        <f>IF(F32="","",COUNTA($F$19:F32))</f>
        <v>14</v>
      </c>
      <c r="B32" s="22" t="s">
        <v>1505</v>
      </c>
      <c r="C32" s="21" t="s">
        <v>984</v>
      </c>
      <c r="D32" s="62" t="s">
        <v>51</v>
      </c>
      <c r="E32" s="1">
        <f>1900/1.1</f>
        <v>1727.272727272727</v>
      </c>
      <c r="F32" s="1">
        <f>1900/1.1</f>
        <v>1727.272727272727</v>
      </c>
      <c r="G32" s="125">
        <f t="shared" si="1"/>
        <v>0</v>
      </c>
      <c r="H32" s="247"/>
    </row>
    <row r="33" spans="1:8" ht="16.5">
      <c r="A33" s="3">
        <f>IF(F33="","",COUNTA($F$19:F33))</f>
        <v>15</v>
      </c>
      <c r="B33" s="22" t="s">
        <v>1504</v>
      </c>
      <c r="C33" s="21" t="s">
        <v>984</v>
      </c>
      <c r="D33" s="62" t="s">
        <v>47</v>
      </c>
      <c r="E33" s="1">
        <f>3200/1.1</f>
        <v>2909.090909090909</v>
      </c>
      <c r="F33" s="1">
        <f>3200/1.1</f>
        <v>2909.090909090909</v>
      </c>
      <c r="G33" s="125">
        <f t="shared" si="1"/>
        <v>0</v>
      </c>
      <c r="H33" s="247"/>
    </row>
    <row r="34" spans="1:8" ht="16.5">
      <c r="A34" s="3">
        <f>IF(F34="","",COUNTA($F$19:F34))</f>
        <v>16</v>
      </c>
      <c r="B34" s="22" t="s">
        <v>1500</v>
      </c>
      <c r="C34" s="21" t="s">
        <v>984</v>
      </c>
      <c r="D34" s="62" t="s">
        <v>1501</v>
      </c>
      <c r="E34" s="1">
        <f>2300/1.1</f>
        <v>2090.9090909090905</v>
      </c>
      <c r="F34" s="1">
        <f>2300/1.1</f>
        <v>2090.9090909090905</v>
      </c>
      <c r="G34" s="125">
        <f t="shared" si="1"/>
        <v>0</v>
      </c>
      <c r="H34" s="247"/>
    </row>
    <row r="35" spans="1:8" ht="16.5">
      <c r="A35" s="3">
        <f>IF(F35="","",COUNTA($F$19:F35))</f>
        <v>17</v>
      </c>
      <c r="B35" s="22" t="s">
        <v>986</v>
      </c>
      <c r="C35" s="21" t="s">
        <v>984</v>
      </c>
      <c r="D35" s="62" t="s">
        <v>1501</v>
      </c>
      <c r="E35" s="1">
        <f>2200/1.1</f>
        <v>1999.9999999999998</v>
      </c>
      <c r="F35" s="1">
        <f>2200/1.1</f>
        <v>1999.9999999999998</v>
      </c>
      <c r="G35" s="125">
        <f t="shared" si="1"/>
        <v>0</v>
      </c>
      <c r="H35" s="247"/>
    </row>
    <row r="36" spans="1:8" s="69" customFormat="1" ht="16.5">
      <c r="A36" s="20" t="s">
        <v>3175</v>
      </c>
      <c r="B36" s="23" t="s">
        <v>988</v>
      </c>
      <c r="C36" s="20"/>
      <c r="D36" s="68"/>
      <c r="E36" s="2"/>
      <c r="F36" s="2"/>
      <c r="G36" s="125"/>
      <c r="H36" s="70"/>
    </row>
    <row r="37" spans="1:8" ht="16.5">
      <c r="A37" s="3">
        <f>IF(F37="","",COUNTA($F$37:F37))</f>
        <v>1</v>
      </c>
      <c r="B37" s="22" t="s">
        <v>989</v>
      </c>
      <c r="C37" s="21" t="s">
        <v>984</v>
      </c>
      <c r="D37" s="62" t="s">
        <v>52</v>
      </c>
      <c r="E37" s="1">
        <v>1857</v>
      </c>
      <c r="F37" s="1">
        <v>1857</v>
      </c>
      <c r="G37" s="125">
        <f t="shared" si="1"/>
        <v>0</v>
      </c>
      <c r="H37" s="247" t="s">
        <v>41</v>
      </c>
    </row>
    <row r="38" spans="1:8" ht="16.5">
      <c r="A38" s="3">
        <f>IF(F38="","",COUNTA($F$37:F38))</f>
        <v>2</v>
      </c>
      <c r="B38" s="22" t="s">
        <v>990</v>
      </c>
      <c r="C38" s="21" t="s">
        <v>984</v>
      </c>
      <c r="D38" s="62" t="s">
        <v>53</v>
      </c>
      <c r="E38" s="1">
        <v>1300</v>
      </c>
      <c r="F38" s="1">
        <v>1300</v>
      </c>
      <c r="G38" s="125">
        <f t="shared" si="1"/>
        <v>0</v>
      </c>
      <c r="H38" s="247"/>
    </row>
    <row r="39" spans="1:8" ht="16.5">
      <c r="A39" s="3">
        <f>IF(F39="","",COUNTA($F$37:F39))</f>
        <v>3</v>
      </c>
      <c r="B39" s="22" t="s">
        <v>991</v>
      </c>
      <c r="C39" s="21" t="s">
        <v>984</v>
      </c>
      <c r="D39" s="62" t="s">
        <v>54</v>
      </c>
      <c r="E39" s="1">
        <v>1200</v>
      </c>
      <c r="F39" s="1">
        <v>1200</v>
      </c>
      <c r="G39" s="125">
        <f t="shared" si="1"/>
        <v>0</v>
      </c>
      <c r="H39" s="247"/>
    </row>
    <row r="40" spans="1:8" ht="16.5">
      <c r="A40" s="3">
        <f>IF(F40="","",COUNTA($F$37:F40))</f>
        <v>4</v>
      </c>
      <c r="B40" s="22" t="s">
        <v>992</v>
      </c>
      <c r="C40" s="21" t="s">
        <v>984</v>
      </c>
      <c r="D40" s="62" t="s">
        <v>55</v>
      </c>
      <c r="E40" s="1">
        <v>4090</v>
      </c>
      <c r="F40" s="1">
        <v>4090</v>
      </c>
      <c r="G40" s="125">
        <f t="shared" si="1"/>
        <v>0</v>
      </c>
      <c r="H40" s="247"/>
    </row>
    <row r="41" spans="1:8" ht="16.5">
      <c r="A41" s="3">
        <f>IF(F41="","",COUNTA($F$37:F41))</f>
        <v>5</v>
      </c>
      <c r="B41" s="22" t="s">
        <v>993</v>
      </c>
      <c r="C41" s="21" t="s">
        <v>984</v>
      </c>
      <c r="D41" s="62" t="s">
        <v>56</v>
      </c>
      <c r="E41" s="1">
        <v>6090</v>
      </c>
      <c r="F41" s="1">
        <v>6090</v>
      </c>
      <c r="G41" s="125">
        <f t="shared" si="1"/>
        <v>0</v>
      </c>
      <c r="H41" s="247"/>
    </row>
    <row r="42" spans="1:8" ht="16.5">
      <c r="A42" s="3">
        <f>IF(F42="","",COUNTA($F$37:F42))</f>
        <v>6</v>
      </c>
      <c r="B42" s="22" t="s">
        <v>994</v>
      </c>
      <c r="C42" s="21" t="s">
        <v>984</v>
      </c>
      <c r="D42" s="62" t="s">
        <v>57</v>
      </c>
      <c r="E42" s="1">
        <v>4545</v>
      </c>
      <c r="F42" s="1">
        <v>4545</v>
      </c>
      <c r="G42" s="125">
        <f t="shared" si="1"/>
        <v>0</v>
      </c>
      <c r="H42" s="247"/>
    </row>
    <row r="43" spans="1:8" ht="16.5">
      <c r="A43" s="3">
        <f>IF(F43="","",COUNTA($F$37:F43))</f>
        <v>7</v>
      </c>
      <c r="B43" s="22" t="s">
        <v>995</v>
      </c>
      <c r="C43" s="21" t="s">
        <v>984</v>
      </c>
      <c r="D43" s="62" t="s">
        <v>58</v>
      </c>
      <c r="E43" s="1">
        <v>6363</v>
      </c>
      <c r="F43" s="1">
        <v>6363</v>
      </c>
      <c r="G43" s="125">
        <f t="shared" si="1"/>
        <v>0</v>
      </c>
      <c r="H43" s="247"/>
    </row>
    <row r="44" spans="1:8" ht="16.5">
      <c r="A44" s="3">
        <f>IF(F44="","",COUNTA($F$37:F44))</f>
        <v>8</v>
      </c>
      <c r="B44" s="22" t="s">
        <v>996</v>
      </c>
      <c r="C44" s="21" t="s">
        <v>984</v>
      </c>
      <c r="D44" s="62" t="s">
        <v>59</v>
      </c>
      <c r="E44" s="1">
        <v>8485</v>
      </c>
      <c r="F44" s="1">
        <v>8485</v>
      </c>
      <c r="G44" s="125">
        <f t="shared" si="1"/>
        <v>0</v>
      </c>
      <c r="H44" s="247"/>
    </row>
    <row r="45" spans="1:8" ht="16.5">
      <c r="A45" s="3">
        <f>IF(F45="","",COUNTA($F$37:F45))</f>
        <v>9</v>
      </c>
      <c r="B45" s="22" t="s">
        <v>997</v>
      </c>
      <c r="C45" s="21" t="s">
        <v>1135</v>
      </c>
      <c r="D45" s="62" t="s">
        <v>2769</v>
      </c>
      <c r="E45" s="1">
        <v>78000</v>
      </c>
      <c r="F45" s="1">
        <v>78000</v>
      </c>
      <c r="G45" s="125">
        <f t="shared" si="1"/>
        <v>0</v>
      </c>
      <c r="H45" s="247"/>
    </row>
    <row r="46" spans="1:8" ht="16.5">
      <c r="A46" s="3">
        <f>IF(F46="","",COUNTA($F$37:F46))</f>
        <v>10</v>
      </c>
      <c r="B46" s="22" t="s">
        <v>997</v>
      </c>
      <c r="C46" s="21" t="s">
        <v>1135</v>
      </c>
      <c r="D46" s="62" t="s">
        <v>2770</v>
      </c>
      <c r="E46" s="1">
        <v>79000</v>
      </c>
      <c r="F46" s="1">
        <v>79000</v>
      </c>
      <c r="G46" s="125">
        <f t="shared" si="1"/>
        <v>0</v>
      </c>
      <c r="H46" s="247"/>
    </row>
    <row r="47" spans="1:8" ht="16.5">
      <c r="A47" s="3">
        <f>IF(F47="","",COUNTA($F$37:F47))</f>
        <v>11</v>
      </c>
      <c r="B47" s="22" t="s">
        <v>1001</v>
      </c>
      <c r="C47" s="21" t="s">
        <v>984</v>
      </c>
      <c r="D47" s="62" t="s">
        <v>60</v>
      </c>
      <c r="E47" s="4">
        <v>1227</v>
      </c>
      <c r="F47" s="4">
        <v>1227</v>
      </c>
      <c r="G47" s="125">
        <f t="shared" si="1"/>
        <v>0</v>
      </c>
      <c r="H47" s="247" t="s">
        <v>40</v>
      </c>
    </row>
    <row r="48" spans="1:8" ht="16.5">
      <c r="A48" s="3">
        <f>IF(F48="","",COUNTA($F$37:F48))</f>
        <v>12</v>
      </c>
      <c r="B48" s="22" t="s">
        <v>998</v>
      </c>
      <c r="C48" s="21" t="s">
        <v>984</v>
      </c>
      <c r="D48" s="62" t="s">
        <v>55</v>
      </c>
      <c r="E48" s="4">
        <v>4394</v>
      </c>
      <c r="F48" s="4">
        <v>4394</v>
      </c>
      <c r="G48" s="125">
        <f t="shared" si="1"/>
        <v>0</v>
      </c>
      <c r="H48" s="247"/>
    </row>
    <row r="49" spans="1:8" ht="16.5">
      <c r="A49" s="3">
        <f>IF(F49="","",COUNTA($F$37:F49))</f>
        <v>13</v>
      </c>
      <c r="B49" s="22" t="s">
        <v>1003</v>
      </c>
      <c r="C49" s="21" t="s">
        <v>984</v>
      </c>
      <c r="D49" s="62" t="s">
        <v>56</v>
      </c>
      <c r="E49" s="4">
        <v>6364</v>
      </c>
      <c r="F49" s="4">
        <v>6364</v>
      </c>
      <c r="G49" s="125">
        <f t="shared" si="1"/>
        <v>0</v>
      </c>
      <c r="H49" s="247"/>
    </row>
    <row r="50" spans="1:8" ht="16.5">
      <c r="A50" s="3">
        <f>IF(F50="","",COUNTA($F$37:F50))</f>
        <v>14</v>
      </c>
      <c r="B50" s="22" t="s">
        <v>999</v>
      </c>
      <c r="C50" s="21" t="s">
        <v>984</v>
      </c>
      <c r="D50" s="62" t="s">
        <v>59</v>
      </c>
      <c r="E50" s="4">
        <v>9045</v>
      </c>
      <c r="F50" s="4">
        <v>9045</v>
      </c>
      <c r="G50" s="125">
        <f t="shared" si="1"/>
        <v>0</v>
      </c>
      <c r="H50" s="247"/>
    </row>
    <row r="51" spans="1:8" ht="16.5">
      <c r="A51" s="3">
        <f>IF(F51="","",COUNTA($F$37:F51))</f>
        <v>15</v>
      </c>
      <c r="B51" s="22" t="s">
        <v>1000</v>
      </c>
      <c r="C51" s="21" t="s">
        <v>984</v>
      </c>
      <c r="D51" s="62" t="s">
        <v>61</v>
      </c>
      <c r="E51" s="4">
        <v>5273</v>
      </c>
      <c r="F51" s="4">
        <v>5273</v>
      </c>
      <c r="G51" s="125">
        <f t="shared" si="1"/>
        <v>0</v>
      </c>
      <c r="H51" s="247"/>
    </row>
    <row r="52" spans="1:8" ht="16.5">
      <c r="A52" s="3">
        <f>IF(F52="","",COUNTA($F$37:F52))</f>
        <v>16</v>
      </c>
      <c r="B52" s="22" t="s">
        <v>1010</v>
      </c>
      <c r="C52" s="21" t="s">
        <v>984</v>
      </c>
      <c r="D52" s="62" t="s">
        <v>58</v>
      </c>
      <c r="E52" s="4">
        <v>6591</v>
      </c>
      <c r="F52" s="4">
        <v>6591</v>
      </c>
      <c r="G52" s="125">
        <f t="shared" si="1"/>
        <v>0</v>
      </c>
      <c r="H52" s="247"/>
    </row>
    <row r="53" spans="1:8" ht="16.5">
      <c r="A53" s="3">
        <f>IF(F53="","",COUNTA($F$37:F53))</f>
        <v>17</v>
      </c>
      <c r="B53" s="22" t="s">
        <v>1002</v>
      </c>
      <c r="C53" s="21" t="s">
        <v>984</v>
      </c>
      <c r="D53" s="62" t="s">
        <v>57</v>
      </c>
      <c r="E53" s="4">
        <v>4727</v>
      </c>
      <c r="F53" s="4">
        <v>4727</v>
      </c>
      <c r="G53" s="125">
        <f t="shared" si="1"/>
        <v>0</v>
      </c>
      <c r="H53" s="247"/>
    </row>
    <row r="54" spans="1:8" ht="16.5">
      <c r="A54" s="3">
        <f>IF(F54="","",COUNTA($F$37:F54))</f>
        <v>18</v>
      </c>
      <c r="B54" s="22" t="s">
        <v>1005</v>
      </c>
      <c r="C54" s="21" t="s">
        <v>984</v>
      </c>
      <c r="D54" s="62" t="s">
        <v>62</v>
      </c>
      <c r="E54" s="4">
        <v>3136</v>
      </c>
      <c r="F54" s="4">
        <v>3136</v>
      </c>
      <c r="G54" s="125">
        <f t="shared" si="1"/>
        <v>0</v>
      </c>
      <c r="H54" s="247"/>
    </row>
    <row r="55" spans="1:8" ht="16.5">
      <c r="A55" s="3">
        <f>IF(F55="","",COUNTA($F$37:F55))</f>
        <v>19</v>
      </c>
      <c r="B55" s="22" t="s">
        <v>1006</v>
      </c>
      <c r="C55" s="21" t="s">
        <v>984</v>
      </c>
      <c r="D55" s="62" t="s">
        <v>63</v>
      </c>
      <c r="E55" s="4">
        <v>6363</v>
      </c>
      <c r="F55" s="4">
        <v>6363</v>
      </c>
      <c r="G55" s="125">
        <f t="shared" si="1"/>
        <v>0</v>
      </c>
      <c r="H55" s="247"/>
    </row>
    <row r="56" spans="1:8" ht="16.5">
      <c r="A56" s="3">
        <f>IF(F56="","",COUNTA($F$37:F56))</f>
        <v>20</v>
      </c>
      <c r="B56" s="22" t="s">
        <v>1007</v>
      </c>
      <c r="C56" s="21" t="s">
        <v>984</v>
      </c>
      <c r="D56" s="62" t="s">
        <v>53</v>
      </c>
      <c r="E56" s="4">
        <v>1363</v>
      </c>
      <c r="F56" s="4">
        <v>1363</v>
      </c>
      <c r="G56" s="125">
        <f t="shared" si="1"/>
        <v>0</v>
      </c>
      <c r="H56" s="247"/>
    </row>
    <row r="57" spans="1:8" ht="16.5">
      <c r="A57" s="3">
        <f>IF(F57="","",COUNTA($F$37:F57))</f>
        <v>21</v>
      </c>
      <c r="B57" s="22" t="s">
        <v>1004</v>
      </c>
      <c r="C57" s="21" t="s">
        <v>984</v>
      </c>
      <c r="D57" s="62" t="s">
        <v>64</v>
      </c>
      <c r="E57" s="4">
        <v>1909</v>
      </c>
      <c r="F57" s="4">
        <v>1909</v>
      </c>
      <c r="G57" s="125">
        <f t="shared" si="1"/>
        <v>0</v>
      </c>
      <c r="H57" s="247"/>
    </row>
    <row r="58" spans="1:8" s="69" customFormat="1" ht="16.5">
      <c r="A58" s="20" t="s">
        <v>1048</v>
      </c>
      <c r="B58" s="23" t="s">
        <v>1012</v>
      </c>
      <c r="C58" s="20"/>
      <c r="D58" s="68"/>
      <c r="E58" s="2"/>
      <c r="F58" s="2"/>
      <c r="G58" s="125"/>
      <c r="H58" s="70"/>
    </row>
    <row r="59" spans="1:8" ht="19.5">
      <c r="A59" s="3">
        <f>IF(F59="","",COUNTA($F$59:F59))</f>
        <v>1</v>
      </c>
      <c r="B59" s="24" t="s">
        <v>37</v>
      </c>
      <c r="C59" s="21" t="s">
        <v>2980</v>
      </c>
      <c r="D59" s="62" t="s">
        <v>65</v>
      </c>
      <c r="E59" s="215">
        <v>259090</v>
      </c>
      <c r="F59" s="203">
        <v>259090</v>
      </c>
      <c r="G59" s="125">
        <f aca="true" t="shared" si="2" ref="G59:G122">(E59-F59)/F59</f>
        <v>0</v>
      </c>
      <c r="H59" s="247" t="s">
        <v>39</v>
      </c>
    </row>
    <row r="60" spans="1:9" ht="19.5">
      <c r="A60" s="3">
        <f>IF(F60="","",COUNTA($F$59:F60))</f>
        <v>2</v>
      </c>
      <c r="B60" s="24" t="s">
        <v>36</v>
      </c>
      <c r="C60" s="21" t="s">
        <v>2980</v>
      </c>
      <c r="D60" s="62" t="s">
        <v>74</v>
      </c>
      <c r="E60" s="215">
        <v>259090</v>
      </c>
      <c r="F60" s="203">
        <v>259090</v>
      </c>
      <c r="G60" s="125">
        <f t="shared" si="2"/>
        <v>0</v>
      </c>
      <c r="H60" s="247"/>
      <c r="I60" s="188">
        <f>MIN(G59:G71)</f>
        <v>0</v>
      </c>
    </row>
    <row r="61" spans="1:9" ht="19.5">
      <c r="A61" s="3">
        <f>IF(F61="","",COUNTA($F$59:F61))</f>
        <v>3</v>
      </c>
      <c r="B61" s="24" t="s">
        <v>382</v>
      </c>
      <c r="C61" s="21" t="s">
        <v>2980</v>
      </c>
      <c r="D61" s="62" t="s">
        <v>74</v>
      </c>
      <c r="E61" s="215">
        <v>272727</v>
      </c>
      <c r="F61" s="203">
        <v>272727</v>
      </c>
      <c r="G61" s="125">
        <f>(E61-F61)/F61</f>
        <v>0</v>
      </c>
      <c r="H61" s="247"/>
      <c r="I61" s="188">
        <f>MAX(G59:G71)</f>
        <v>0</v>
      </c>
    </row>
    <row r="62" spans="1:8" ht="19.5">
      <c r="A62" s="3">
        <f>IF(F62="","",COUNTA($F$59:F62))</f>
        <v>4</v>
      </c>
      <c r="B62" s="24" t="s">
        <v>38</v>
      </c>
      <c r="C62" s="21" t="s">
        <v>2980</v>
      </c>
      <c r="D62" s="62" t="s">
        <v>73</v>
      </c>
      <c r="E62" s="215">
        <v>259090</v>
      </c>
      <c r="F62" s="203">
        <v>259090</v>
      </c>
      <c r="G62" s="125">
        <f t="shared" si="2"/>
        <v>0</v>
      </c>
      <c r="H62" s="247"/>
    </row>
    <row r="63" spans="1:8" ht="19.5">
      <c r="A63" s="3">
        <f>IF(F63="","",COUNTA($F$59:F63))</f>
        <v>5</v>
      </c>
      <c r="B63" s="24" t="s">
        <v>3209</v>
      </c>
      <c r="C63" s="21" t="s">
        <v>2980</v>
      </c>
      <c r="D63" s="62" t="s">
        <v>3211</v>
      </c>
      <c r="E63" s="215">
        <v>281818</v>
      </c>
      <c r="F63" s="203">
        <v>281818</v>
      </c>
      <c r="G63" s="125">
        <f t="shared" si="2"/>
        <v>0</v>
      </c>
      <c r="H63" s="247"/>
    </row>
    <row r="64" spans="1:8" ht="19.5">
      <c r="A64" s="3">
        <f>IF(F64="","",COUNTA($F$59:F64))</f>
        <v>6</v>
      </c>
      <c r="B64" s="24" t="s">
        <v>3210</v>
      </c>
      <c r="C64" s="21" t="s">
        <v>2980</v>
      </c>
      <c r="D64" s="62" t="s">
        <v>3212</v>
      </c>
      <c r="E64" s="215">
        <v>263636</v>
      </c>
      <c r="F64" s="203">
        <v>263636</v>
      </c>
      <c r="G64" s="125">
        <f t="shared" si="2"/>
        <v>0</v>
      </c>
      <c r="H64" s="247"/>
    </row>
    <row r="65" spans="1:8" ht="19.5">
      <c r="A65" s="3">
        <f>IF(F65="","",COUNTA($F$59:F65))</f>
        <v>7</v>
      </c>
      <c r="B65" s="24" t="s">
        <v>1013</v>
      </c>
      <c r="C65" s="21" t="s">
        <v>2980</v>
      </c>
      <c r="D65" s="62" t="s">
        <v>71</v>
      </c>
      <c r="E65" s="215">
        <v>240909</v>
      </c>
      <c r="F65" s="203">
        <v>240909</v>
      </c>
      <c r="G65" s="125">
        <f t="shared" si="2"/>
        <v>0</v>
      </c>
      <c r="H65" s="247"/>
    </row>
    <row r="66" spans="1:8" ht="19.5">
      <c r="A66" s="3">
        <f>IF(F66="","",COUNTA($F$59:F66))</f>
        <v>8</v>
      </c>
      <c r="B66" s="24" t="s">
        <v>1014</v>
      </c>
      <c r="C66" s="21" t="s">
        <v>2980</v>
      </c>
      <c r="D66" s="62" t="s">
        <v>72</v>
      </c>
      <c r="E66" s="215">
        <v>186363</v>
      </c>
      <c r="F66" s="203">
        <v>186363</v>
      </c>
      <c r="G66" s="125">
        <f t="shared" si="2"/>
        <v>0</v>
      </c>
      <c r="H66" s="247"/>
    </row>
    <row r="67" spans="1:8" ht="19.5">
      <c r="A67" s="3">
        <f>IF(F67="","",COUNTA($F$59:F67))</f>
        <v>9</v>
      </c>
      <c r="B67" s="24" t="s">
        <v>3213</v>
      </c>
      <c r="C67" s="21" t="s">
        <v>2980</v>
      </c>
      <c r="D67" s="62" t="s">
        <v>70</v>
      </c>
      <c r="E67" s="215">
        <v>172727</v>
      </c>
      <c r="F67" s="203">
        <v>172727</v>
      </c>
      <c r="G67" s="125">
        <f t="shared" si="2"/>
        <v>0</v>
      </c>
      <c r="H67" s="247"/>
    </row>
    <row r="68" spans="1:8" ht="19.5">
      <c r="A68" s="3">
        <f>IF(F68="","",COUNTA($F$59:F68))</f>
        <v>10</v>
      </c>
      <c r="B68" s="24" t="s">
        <v>3214</v>
      </c>
      <c r="C68" s="21" t="s">
        <v>2980</v>
      </c>
      <c r="D68" s="62" t="s">
        <v>69</v>
      </c>
      <c r="E68" s="215">
        <v>172727</v>
      </c>
      <c r="F68" s="203">
        <v>172727</v>
      </c>
      <c r="G68" s="125">
        <f t="shared" si="2"/>
        <v>0</v>
      </c>
      <c r="H68" s="247"/>
    </row>
    <row r="69" spans="1:8" ht="19.5">
      <c r="A69" s="3">
        <f>IF(F69="","",COUNTA($F$59:F69))</f>
        <v>11</v>
      </c>
      <c r="B69" s="24" t="s">
        <v>1015</v>
      </c>
      <c r="C69" s="21" t="s">
        <v>2980</v>
      </c>
      <c r="D69" s="62" t="s">
        <v>68</v>
      </c>
      <c r="E69" s="215">
        <v>204545</v>
      </c>
      <c r="F69" s="203">
        <v>204545</v>
      </c>
      <c r="G69" s="125">
        <f t="shared" si="2"/>
        <v>0</v>
      </c>
      <c r="H69" s="247"/>
    </row>
    <row r="70" spans="1:8" ht="19.5">
      <c r="A70" s="3">
        <f>IF(F70="","",COUNTA($F$59:F70))</f>
        <v>12</v>
      </c>
      <c r="B70" s="24" t="s">
        <v>1016</v>
      </c>
      <c r="C70" s="21" t="s">
        <v>2980</v>
      </c>
      <c r="D70" s="62" t="s">
        <v>1022</v>
      </c>
      <c r="E70" s="215">
        <v>163636</v>
      </c>
      <c r="F70" s="203">
        <v>163636</v>
      </c>
      <c r="G70" s="125">
        <f t="shared" si="2"/>
        <v>0</v>
      </c>
      <c r="H70" s="247"/>
    </row>
    <row r="71" spans="1:8" ht="19.5">
      <c r="A71" s="3">
        <f>IF(F71="","",COUNTA($F$59:F71))</f>
        <v>13</v>
      </c>
      <c r="B71" s="24" t="s">
        <v>1017</v>
      </c>
      <c r="C71" s="21" t="s">
        <v>2980</v>
      </c>
      <c r="D71" s="62" t="s">
        <v>67</v>
      </c>
      <c r="E71" s="215">
        <v>154545</v>
      </c>
      <c r="F71" s="203">
        <v>154545</v>
      </c>
      <c r="G71" s="125">
        <f t="shared" si="2"/>
        <v>0</v>
      </c>
      <c r="H71" s="247"/>
    </row>
    <row r="72" spans="1:8" ht="19.5">
      <c r="A72" s="3">
        <f>IF(F72="","",COUNTA($F$59:F72))</f>
        <v>14</v>
      </c>
      <c r="B72" s="24" t="s">
        <v>1018</v>
      </c>
      <c r="C72" s="21" t="s">
        <v>2980</v>
      </c>
      <c r="E72" s="5">
        <v>88182</v>
      </c>
      <c r="F72" s="177">
        <v>88182</v>
      </c>
      <c r="G72" s="125">
        <f t="shared" si="2"/>
        <v>0</v>
      </c>
      <c r="H72" s="247"/>
    </row>
    <row r="73" spans="1:8" ht="19.5">
      <c r="A73" s="3">
        <f>IF(F73="","",COUNTA($F$59:F73))</f>
        <v>15</v>
      </c>
      <c r="B73" s="24" t="s">
        <v>1019</v>
      </c>
      <c r="C73" s="21" t="s">
        <v>2980</v>
      </c>
      <c r="D73" s="62" t="s">
        <v>66</v>
      </c>
      <c r="E73" s="5">
        <v>181818</v>
      </c>
      <c r="F73" s="177">
        <v>181818</v>
      </c>
      <c r="G73" s="125">
        <f t="shared" si="2"/>
        <v>0</v>
      </c>
      <c r="H73" s="247"/>
    </row>
    <row r="74" spans="1:8" ht="16.5">
      <c r="A74" s="3">
        <f>IF(F74="","",COUNTA($F$59:F74))</f>
        <v>16</v>
      </c>
      <c r="B74" s="22" t="s">
        <v>1020</v>
      </c>
      <c r="C74" s="21" t="s">
        <v>1021</v>
      </c>
      <c r="E74" s="1">
        <v>381818</v>
      </c>
      <c r="F74" s="176">
        <v>381818</v>
      </c>
      <c r="G74" s="125">
        <f t="shared" si="2"/>
        <v>0</v>
      </c>
      <c r="H74" s="247"/>
    </row>
    <row r="75" spans="1:8" ht="19.5">
      <c r="A75" s="3">
        <f>IF(F75="","",COUNTA($F$59:F75))</f>
        <v>17</v>
      </c>
      <c r="B75" s="24" t="s">
        <v>1091</v>
      </c>
      <c r="C75" s="21" t="s">
        <v>2981</v>
      </c>
      <c r="D75" s="62" t="s">
        <v>1103</v>
      </c>
      <c r="E75" s="5">
        <v>284545</v>
      </c>
      <c r="F75" s="177">
        <v>284545</v>
      </c>
      <c r="G75" s="125">
        <f t="shared" si="2"/>
        <v>0</v>
      </c>
      <c r="H75" s="247"/>
    </row>
    <row r="76" spans="1:8" ht="19.5">
      <c r="A76" s="3">
        <f>IF(F76="","",COUNTA($F$59:F76))</f>
        <v>18</v>
      </c>
      <c r="B76" s="24" t="s">
        <v>1092</v>
      </c>
      <c r="C76" s="21" t="s">
        <v>2981</v>
      </c>
      <c r="D76" s="62" t="s">
        <v>1104</v>
      </c>
      <c r="E76" s="5">
        <v>284545</v>
      </c>
      <c r="F76" s="177">
        <v>284545</v>
      </c>
      <c r="G76" s="125">
        <f t="shared" si="2"/>
        <v>0</v>
      </c>
      <c r="H76" s="247"/>
    </row>
    <row r="77" spans="1:8" ht="19.5">
      <c r="A77" s="3">
        <f>IF(F77="","",COUNTA($F$59:F77))</f>
        <v>19</v>
      </c>
      <c r="B77" s="24" t="s">
        <v>1093</v>
      </c>
      <c r="C77" s="21" t="s">
        <v>2981</v>
      </c>
      <c r="D77" s="62" t="s">
        <v>1105</v>
      </c>
      <c r="E77" s="5">
        <v>284545</v>
      </c>
      <c r="F77" s="177">
        <v>284545</v>
      </c>
      <c r="G77" s="125">
        <f t="shared" si="2"/>
        <v>0</v>
      </c>
      <c r="H77" s="247"/>
    </row>
    <row r="78" spans="1:8" ht="19.5">
      <c r="A78" s="3">
        <f>IF(F78="","",COUNTA($F$59:F78))</f>
        <v>20</v>
      </c>
      <c r="B78" s="24" t="s">
        <v>1094</v>
      </c>
      <c r="C78" s="21" t="s">
        <v>2981</v>
      </c>
      <c r="D78" s="62" t="s">
        <v>1103</v>
      </c>
      <c r="E78" s="5">
        <v>266364</v>
      </c>
      <c r="F78" s="177">
        <v>266364</v>
      </c>
      <c r="G78" s="125">
        <f t="shared" si="2"/>
        <v>0</v>
      </c>
      <c r="H78" s="247"/>
    </row>
    <row r="79" spans="1:8" ht="19.5">
      <c r="A79" s="3">
        <f>IF(F79="","",COUNTA($F$59:F79))</f>
        <v>21</v>
      </c>
      <c r="B79" s="24" t="s">
        <v>1095</v>
      </c>
      <c r="C79" s="21" t="s">
        <v>2981</v>
      </c>
      <c r="D79" s="62" t="s">
        <v>1104</v>
      </c>
      <c r="E79" s="5">
        <v>266364</v>
      </c>
      <c r="F79" s="177">
        <v>266364</v>
      </c>
      <c r="G79" s="125">
        <f t="shared" si="2"/>
        <v>0</v>
      </c>
      <c r="H79" s="247"/>
    </row>
    <row r="80" spans="1:8" ht="19.5">
      <c r="A80" s="3">
        <f>IF(F80="","",COUNTA($F$59:F80))</f>
        <v>22</v>
      </c>
      <c r="B80" s="24" t="s">
        <v>1096</v>
      </c>
      <c r="C80" s="21" t="s">
        <v>2981</v>
      </c>
      <c r="D80" s="62" t="s">
        <v>1105</v>
      </c>
      <c r="E80" s="5">
        <v>266364</v>
      </c>
      <c r="F80" s="177">
        <v>266364</v>
      </c>
      <c r="G80" s="125">
        <f t="shared" si="2"/>
        <v>0</v>
      </c>
      <c r="H80" s="247"/>
    </row>
    <row r="81" spans="1:8" ht="19.5">
      <c r="A81" s="3">
        <f>IF(F81="","",COUNTA($F$59:F81))</f>
        <v>23</v>
      </c>
      <c r="B81" s="24" t="s">
        <v>1097</v>
      </c>
      <c r="C81" s="21" t="s">
        <v>2981</v>
      </c>
      <c r="D81" s="62" t="s">
        <v>1106</v>
      </c>
      <c r="E81" s="5">
        <v>298182</v>
      </c>
      <c r="F81" s="177">
        <v>298182</v>
      </c>
      <c r="G81" s="125">
        <f t="shared" si="2"/>
        <v>0</v>
      </c>
      <c r="H81" s="247"/>
    </row>
    <row r="82" spans="1:8" ht="19.5">
      <c r="A82" s="3">
        <f>IF(F82="","",COUNTA($F$59:F82))</f>
        <v>24</v>
      </c>
      <c r="B82" s="24" t="s">
        <v>1098</v>
      </c>
      <c r="C82" s="21" t="s">
        <v>2981</v>
      </c>
      <c r="D82" s="62" t="s">
        <v>1107</v>
      </c>
      <c r="E82" s="5">
        <v>298182</v>
      </c>
      <c r="F82" s="177">
        <v>298182</v>
      </c>
      <c r="G82" s="125">
        <f t="shared" si="2"/>
        <v>0</v>
      </c>
      <c r="H82" s="247"/>
    </row>
    <row r="83" spans="1:8" ht="19.5">
      <c r="A83" s="3">
        <f>IF(F83="","",COUNTA($F$59:F83))</f>
        <v>25</v>
      </c>
      <c r="B83" s="24" t="s">
        <v>1099</v>
      </c>
      <c r="C83" s="21" t="s">
        <v>2981</v>
      </c>
      <c r="D83" s="62" t="s">
        <v>1108</v>
      </c>
      <c r="E83" s="5">
        <v>280000</v>
      </c>
      <c r="F83" s="177">
        <v>280000</v>
      </c>
      <c r="G83" s="125">
        <f t="shared" si="2"/>
        <v>0</v>
      </c>
      <c r="H83" s="247"/>
    </row>
    <row r="84" spans="1:8" ht="19.5">
      <c r="A84" s="3">
        <f>IF(F84="","",COUNTA($F$59:F84))</f>
        <v>26</v>
      </c>
      <c r="B84" s="24" t="s">
        <v>1100</v>
      </c>
      <c r="C84" s="21" t="s">
        <v>2981</v>
      </c>
      <c r="D84" s="62" t="s">
        <v>1107</v>
      </c>
      <c r="E84" s="5">
        <v>280000</v>
      </c>
      <c r="F84" s="177">
        <v>280000</v>
      </c>
      <c r="G84" s="125">
        <f t="shared" si="2"/>
        <v>0</v>
      </c>
      <c r="H84" s="247"/>
    </row>
    <row r="85" spans="1:8" ht="19.5">
      <c r="A85" s="3">
        <f>IF(F85="","",COUNTA($F$59:F85))</f>
        <v>27</v>
      </c>
      <c r="B85" s="24" t="s">
        <v>1101</v>
      </c>
      <c r="C85" s="21" t="s">
        <v>2981</v>
      </c>
      <c r="D85" s="62" t="s">
        <v>1109</v>
      </c>
      <c r="E85" s="5">
        <v>370000</v>
      </c>
      <c r="F85" s="177">
        <v>370000</v>
      </c>
      <c r="G85" s="125">
        <f t="shared" si="2"/>
        <v>0</v>
      </c>
      <c r="H85" s="247"/>
    </row>
    <row r="86" spans="1:8" ht="19.5">
      <c r="A86" s="3">
        <f>IF(F86="","",COUNTA($F$59:F86))</f>
        <v>28</v>
      </c>
      <c r="B86" s="24" t="s">
        <v>1102</v>
      </c>
      <c r="C86" s="21" t="s">
        <v>2981</v>
      </c>
      <c r="D86" s="62" t="s">
        <v>1109</v>
      </c>
      <c r="E86" s="5">
        <v>351818</v>
      </c>
      <c r="F86" s="177">
        <v>351818</v>
      </c>
      <c r="G86" s="125">
        <f t="shared" si="2"/>
        <v>0</v>
      </c>
      <c r="H86" s="247"/>
    </row>
    <row r="87" spans="1:8" ht="16.5">
      <c r="A87" s="3">
        <f>IF(F87="","",COUNTA($F$59:F87))</f>
        <v>29</v>
      </c>
      <c r="B87" s="22" t="s">
        <v>1110</v>
      </c>
      <c r="C87" s="21" t="s">
        <v>1116</v>
      </c>
      <c r="D87" s="62" t="s">
        <v>1111</v>
      </c>
      <c r="E87" s="1">
        <v>36364</v>
      </c>
      <c r="F87" s="176">
        <v>36364</v>
      </c>
      <c r="G87" s="125">
        <f t="shared" si="2"/>
        <v>0</v>
      </c>
      <c r="H87" s="247"/>
    </row>
    <row r="88" spans="1:8" ht="16.5">
      <c r="A88" s="3">
        <f>IF(F88="","",COUNTA($F$59:F88))</f>
        <v>30</v>
      </c>
      <c r="B88" s="22" t="s">
        <v>1112</v>
      </c>
      <c r="C88" s="21" t="s">
        <v>1116</v>
      </c>
      <c r="D88" s="62" t="s">
        <v>1113</v>
      </c>
      <c r="E88" s="1">
        <v>25455</v>
      </c>
      <c r="F88" s="176">
        <v>25455</v>
      </c>
      <c r="G88" s="125">
        <f t="shared" si="2"/>
        <v>0</v>
      </c>
      <c r="H88" s="247"/>
    </row>
    <row r="89" spans="1:8" ht="16.5">
      <c r="A89" s="3">
        <f>IF(F89="","",COUNTA($F$59:F89))</f>
        <v>31</v>
      </c>
      <c r="B89" s="22" t="s">
        <v>1114</v>
      </c>
      <c r="C89" s="21" t="s">
        <v>1116</v>
      </c>
      <c r="D89" s="62" t="s">
        <v>1115</v>
      </c>
      <c r="E89" s="1">
        <v>31818</v>
      </c>
      <c r="F89" s="176">
        <v>31818</v>
      </c>
      <c r="G89" s="125">
        <f t="shared" si="2"/>
        <v>0</v>
      </c>
      <c r="H89" s="247"/>
    </row>
    <row r="90" spans="1:8" ht="19.5">
      <c r="A90" s="3">
        <f>IF(F90="","",COUNTA($F$59:F90))</f>
        <v>32</v>
      </c>
      <c r="B90" s="24" t="s">
        <v>1023</v>
      </c>
      <c r="C90" s="21" t="s">
        <v>2980</v>
      </c>
      <c r="D90" s="62" t="s">
        <v>65</v>
      </c>
      <c r="E90" s="5">
        <v>259090</v>
      </c>
      <c r="F90" s="177">
        <v>259090</v>
      </c>
      <c r="G90" s="125">
        <f t="shared" si="2"/>
        <v>0</v>
      </c>
      <c r="H90" s="247" t="s">
        <v>44</v>
      </c>
    </row>
    <row r="91" spans="1:8" ht="19.5">
      <c r="A91" s="3">
        <f>IF(F91="","",COUNTA($F$59:F91))</f>
        <v>33</v>
      </c>
      <c r="B91" s="24" t="s">
        <v>1024</v>
      </c>
      <c r="C91" s="21" t="s">
        <v>2980</v>
      </c>
      <c r="D91" s="62" t="s">
        <v>75</v>
      </c>
      <c r="E91" s="5">
        <v>240909</v>
      </c>
      <c r="F91" s="177">
        <v>240909</v>
      </c>
      <c r="G91" s="125">
        <f t="shared" si="2"/>
        <v>0</v>
      </c>
      <c r="H91" s="247"/>
    </row>
    <row r="92" spans="1:8" ht="19.5">
      <c r="A92" s="3">
        <f>IF(F92="","",COUNTA($F$59:F92))</f>
        <v>34</v>
      </c>
      <c r="B92" s="24" t="s">
        <v>1025</v>
      </c>
      <c r="C92" s="21" t="s">
        <v>2980</v>
      </c>
      <c r="D92" s="62" t="s">
        <v>72</v>
      </c>
      <c r="E92" s="5">
        <v>186363</v>
      </c>
      <c r="F92" s="177">
        <v>186363</v>
      </c>
      <c r="G92" s="125">
        <f t="shared" si="2"/>
        <v>0</v>
      </c>
      <c r="H92" s="247"/>
    </row>
    <row r="93" spans="1:8" ht="19.5">
      <c r="A93" s="3">
        <f>IF(F93="","",COUNTA($F$59:F93))</f>
        <v>35</v>
      </c>
      <c r="B93" s="24" t="s">
        <v>1026</v>
      </c>
      <c r="C93" s="21" t="s">
        <v>2980</v>
      </c>
      <c r="D93" s="62" t="s">
        <v>76</v>
      </c>
      <c r="E93" s="5">
        <v>172727</v>
      </c>
      <c r="F93" s="177">
        <v>172727</v>
      </c>
      <c r="G93" s="125">
        <f t="shared" si="2"/>
        <v>0</v>
      </c>
      <c r="H93" s="247"/>
    </row>
    <row r="94" spans="1:8" ht="19.5">
      <c r="A94" s="3">
        <f>IF(F94="","",COUNTA($F$59:F94))</f>
        <v>36</v>
      </c>
      <c r="B94" s="24" t="s">
        <v>1016</v>
      </c>
      <c r="C94" s="21" t="s">
        <v>2980</v>
      </c>
      <c r="D94" s="62" t="s">
        <v>1022</v>
      </c>
      <c r="E94" s="5">
        <v>163636</v>
      </c>
      <c r="F94" s="177">
        <v>163636</v>
      </c>
      <c r="G94" s="125">
        <f t="shared" si="2"/>
        <v>0</v>
      </c>
      <c r="H94" s="247"/>
    </row>
    <row r="95" spans="1:9" ht="19.5">
      <c r="A95" s="3">
        <f>IF(F95="","",COUNTA($F$59:F95))</f>
        <v>37</v>
      </c>
      <c r="B95" s="24" t="s">
        <v>1017</v>
      </c>
      <c r="C95" s="21" t="s">
        <v>2980</v>
      </c>
      <c r="D95" s="62" t="s">
        <v>67</v>
      </c>
      <c r="E95" s="5">
        <v>154545</v>
      </c>
      <c r="F95" s="177">
        <v>154545</v>
      </c>
      <c r="G95" s="125">
        <f t="shared" si="2"/>
        <v>0</v>
      </c>
      <c r="H95" s="247"/>
      <c r="I95" s="188">
        <f>MIN(G90:G99)</f>
        <v>0</v>
      </c>
    </row>
    <row r="96" spans="1:9" ht="19.5">
      <c r="A96" s="3">
        <f>IF(F96="","",COUNTA($F$59:F96))</f>
        <v>38</v>
      </c>
      <c r="B96" s="24" t="s">
        <v>1027</v>
      </c>
      <c r="C96" s="21" t="s">
        <v>2980</v>
      </c>
      <c r="D96" s="62" t="s">
        <v>73</v>
      </c>
      <c r="E96" s="5">
        <v>281818</v>
      </c>
      <c r="F96" s="177">
        <v>281818</v>
      </c>
      <c r="G96" s="125">
        <f t="shared" si="2"/>
        <v>0</v>
      </c>
      <c r="H96" s="247"/>
      <c r="I96" s="188">
        <f>MAX(G90:G99)</f>
        <v>0</v>
      </c>
    </row>
    <row r="97" spans="1:8" ht="19.5">
      <c r="A97" s="3">
        <f>IF(F97="","",COUNTA($F$59:F97))</f>
        <v>39</v>
      </c>
      <c r="B97" s="24" t="s">
        <v>1028</v>
      </c>
      <c r="C97" s="21" t="s">
        <v>2980</v>
      </c>
      <c r="D97" s="62" t="s">
        <v>66</v>
      </c>
      <c r="E97" s="5">
        <v>181818</v>
      </c>
      <c r="F97" s="177">
        <v>181818</v>
      </c>
      <c r="G97" s="125">
        <f t="shared" si="2"/>
        <v>0</v>
      </c>
      <c r="H97" s="247"/>
    </row>
    <row r="98" spans="1:8" ht="19.5">
      <c r="A98" s="3">
        <f>IF(F98="","",COUNTA($F$59:F98))</f>
        <v>40</v>
      </c>
      <c r="B98" s="24" t="s">
        <v>1029</v>
      </c>
      <c r="C98" s="21" t="s">
        <v>2980</v>
      </c>
      <c r="E98" s="5">
        <v>88000</v>
      </c>
      <c r="F98" s="177">
        <v>88000</v>
      </c>
      <c r="G98" s="125">
        <f t="shared" si="2"/>
        <v>0</v>
      </c>
      <c r="H98" s="247"/>
    </row>
    <row r="99" spans="1:8" ht="19.5">
      <c r="A99" s="3">
        <f>IF(F99="","",COUNTA($F$59:F99))</f>
        <v>41</v>
      </c>
      <c r="B99" s="24" t="s">
        <v>1030</v>
      </c>
      <c r="C99" s="21" t="s">
        <v>2980</v>
      </c>
      <c r="D99" s="62" t="s">
        <v>70</v>
      </c>
      <c r="E99" s="5">
        <v>172727</v>
      </c>
      <c r="F99" s="177">
        <v>172727</v>
      </c>
      <c r="G99" s="125">
        <f t="shared" si="2"/>
        <v>0</v>
      </c>
      <c r="H99" s="247"/>
    </row>
    <row r="100" spans="1:8" ht="19.5">
      <c r="A100" s="3">
        <f>IF(F100="","",COUNTA($F$59:F100))</f>
        <v>42</v>
      </c>
      <c r="B100" s="24" t="s">
        <v>1023</v>
      </c>
      <c r="C100" s="21" t="s">
        <v>2980</v>
      </c>
      <c r="D100" s="62" t="s">
        <v>65</v>
      </c>
      <c r="E100" s="5">
        <v>272727</v>
      </c>
      <c r="F100" s="177">
        <v>272727</v>
      </c>
      <c r="G100" s="125">
        <f t="shared" si="2"/>
        <v>0</v>
      </c>
      <c r="H100" s="243" t="s">
        <v>1205</v>
      </c>
    </row>
    <row r="101" spans="1:8" ht="19.5">
      <c r="A101" s="3">
        <f>IF(F101="","",COUNTA($F$59:F101))</f>
        <v>43</v>
      </c>
      <c r="B101" s="24" t="s">
        <v>1024</v>
      </c>
      <c r="C101" s="21" t="s">
        <v>2980</v>
      </c>
      <c r="D101" s="62" t="s">
        <v>71</v>
      </c>
      <c r="E101" s="5">
        <v>254545</v>
      </c>
      <c r="F101" s="177">
        <v>254545</v>
      </c>
      <c r="G101" s="125">
        <f t="shared" si="2"/>
        <v>0</v>
      </c>
      <c r="H101" s="243"/>
    </row>
    <row r="102" spans="1:8" ht="19.5">
      <c r="A102" s="3">
        <f>IF(F102="","",COUNTA($F$59:F102))</f>
        <v>44</v>
      </c>
      <c r="B102" s="24" t="s">
        <v>1025</v>
      </c>
      <c r="C102" s="21" t="s">
        <v>2980</v>
      </c>
      <c r="D102" s="62" t="s">
        <v>72</v>
      </c>
      <c r="E102" s="5">
        <v>200000</v>
      </c>
      <c r="F102" s="177">
        <v>200000</v>
      </c>
      <c r="G102" s="125">
        <f t="shared" si="2"/>
        <v>0</v>
      </c>
      <c r="H102" s="243"/>
    </row>
    <row r="103" spans="1:8" ht="19.5" hidden="1">
      <c r="A103" s="3">
        <f>IF(F103="","",COUNTA($F$59:F103))</f>
      </c>
      <c r="B103" s="24" t="s">
        <v>1016</v>
      </c>
      <c r="C103" s="21" t="s">
        <v>2980</v>
      </c>
      <c r="D103" s="62" t="s">
        <v>1022</v>
      </c>
      <c r="E103" s="5"/>
      <c r="F103" s="177"/>
      <c r="G103" s="125" t="e">
        <f t="shared" si="2"/>
        <v>#DIV/0!</v>
      </c>
      <c r="H103" s="243"/>
    </row>
    <row r="104" spans="1:8" ht="19.5">
      <c r="A104" s="3">
        <f>IF(F104="","",COUNTA($F$59:F104))</f>
        <v>45</v>
      </c>
      <c r="B104" s="24" t="s">
        <v>1017</v>
      </c>
      <c r="C104" s="21" t="s">
        <v>2980</v>
      </c>
      <c r="D104" s="62" t="s">
        <v>67</v>
      </c>
      <c r="E104" s="5">
        <v>159091</v>
      </c>
      <c r="F104" s="177">
        <v>159091</v>
      </c>
      <c r="G104" s="125">
        <f t="shared" si="2"/>
        <v>0</v>
      </c>
      <c r="H104" s="243"/>
    </row>
    <row r="105" spans="1:8" ht="19.5">
      <c r="A105" s="3">
        <f>IF(F105="","",COUNTA($F$59:F105))</f>
        <v>46</v>
      </c>
      <c r="B105" s="24" t="s">
        <v>1031</v>
      </c>
      <c r="C105" s="21" t="s">
        <v>2980</v>
      </c>
      <c r="E105" s="5">
        <v>163636</v>
      </c>
      <c r="F105" s="177">
        <v>163636</v>
      </c>
      <c r="G105" s="125">
        <f t="shared" si="2"/>
        <v>0</v>
      </c>
      <c r="H105" s="243"/>
    </row>
    <row r="106" spans="1:8" ht="19.5">
      <c r="A106" s="3">
        <f>IF(F106="","",COUNTA($F$59:F106))</f>
        <v>47</v>
      </c>
      <c r="B106" s="24" t="s">
        <v>1032</v>
      </c>
      <c r="C106" s="21" t="s">
        <v>2980</v>
      </c>
      <c r="E106" s="5">
        <v>127273</v>
      </c>
      <c r="F106" s="177">
        <v>127273</v>
      </c>
      <c r="G106" s="125">
        <f t="shared" si="2"/>
        <v>0</v>
      </c>
      <c r="H106" s="243"/>
    </row>
    <row r="107" spans="1:8" ht="19.5">
      <c r="A107" s="3">
        <f>IF(F107="","",COUNTA($F$59:F107))</f>
        <v>48</v>
      </c>
      <c r="B107" s="25" t="s">
        <v>1033</v>
      </c>
      <c r="C107" s="21" t="s">
        <v>2980</v>
      </c>
      <c r="D107" s="62" t="s">
        <v>70</v>
      </c>
      <c r="E107" s="5">
        <v>145454</v>
      </c>
      <c r="F107" s="177">
        <v>145454</v>
      </c>
      <c r="G107" s="125">
        <f t="shared" si="2"/>
        <v>0</v>
      </c>
      <c r="H107" s="243" t="s">
        <v>1039</v>
      </c>
    </row>
    <row r="108" spans="1:8" ht="19.5">
      <c r="A108" s="3">
        <f>IF(F108="","",COUNTA($F$59:F108))</f>
        <v>49</v>
      </c>
      <c r="B108" s="25" t="s">
        <v>1034</v>
      </c>
      <c r="C108" s="21" t="s">
        <v>2980</v>
      </c>
      <c r="D108" s="62" t="s">
        <v>69</v>
      </c>
      <c r="E108" s="5">
        <v>145454</v>
      </c>
      <c r="F108" s="177">
        <v>145454</v>
      </c>
      <c r="G108" s="125">
        <f t="shared" si="2"/>
        <v>0</v>
      </c>
      <c r="H108" s="243"/>
    </row>
    <row r="109" spans="1:11" ht="19.5">
      <c r="A109" s="3">
        <f>IF(F109="","",COUNTA($F$59:F109))</f>
        <v>50</v>
      </c>
      <c r="B109" s="25" t="s">
        <v>1023</v>
      </c>
      <c r="C109" s="21" t="s">
        <v>2980</v>
      </c>
      <c r="D109" s="62" t="s">
        <v>65</v>
      </c>
      <c r="E109" s="5">
        <v>218182</v>
      </c>
      <c r="F109" s="177">
        <v>218182</v>
      </c>
      <c r="G109" s="125">
        <f>(E109-F109)/F109</f>
        <v>0</v>
      </c>
      <c r="H109" s="243"/>
      <c r="I109" s="188">
        <f>MIN(G109:G113)</f>
        <v>0</v>
      </c>
      <c r="K109" s="188">
        <f>(F109-E109)/F109</f>
        <v>0</v>
      </c>
    </row>
    <row r="110" spans="1:9" ht="19.5">
      <c r="A110" s="3">
        <f>IF(F110="","",COUNTA($F$59:F110))</f>
        <v>51</v>
      </c>
      <c r="B110" s="25" t="s">
        <v>1024</v>
      </c>
      <c r="C110" s="21" t="s">
        <v>2980</v>
      </c>
      <c r="D110" s="62" t="s">
        <v>71</v>
      </c>
      <c r="E110" s="5">
        <v>204545</v>
      </c>
      <c r="F110" s="177">
        <v>204545</v>
      </c>
      <c r="G110" s="125">
        <f t="shared" si="2"/>
        <v>0</v>
      </c>
      <c r="H110" s="243"/>
      <c r="I110" s="188">
        <f>MAX(G109:G113)</f>
        <v>0</v>
      </c>
    </row>
    <row r="111" spans="1:8" ht="19.5">
      <c r="A111" s="3">
        <f>IF(F111="","",COUNTA($F$59:F111))</f>
        <v>52</v>
      </c>
      <c r="B111" s="25" t="s">
        <v>1025</v>
      </c>
      <c r="C111" s="21" t="s">
        <v>2980</v>
      </c>
      <c r="D111" s="62" t="s">
        <v>72</v>
      </c>
      <c r="E111" s="5">
        <v>154545</v>
      </c>
      <c r="F111" s="177">
        <v>154545</v>
      </c>
      <c r="G111" s="125">
        <f t="shared" si="2"/>
        <v>0</v>
      </c>
      <c r="H111" s="243"/>
    </row>
    <row r="112" spans="1:8" ht="19.5">
      <c r="A112" s="3">
        <f>IF(F112="","",COUNTA($F$59:F112))</f>
        <v>53</v>
      </c>
      <c r="B112" s="25" t="s">
        <v>1035</v>
      </c>
      <c r="C112" s="21" t="s">
        <v>2980</v>
      </c>
      <c r="D112" s="62" t="s">
        <v>1022</v>
      </c>
      <c r="E112" s="5">
        <v>127272</v>
      </c>
      <c r="F112" s="177">
        <v>127272</v>
      </c>
      <c r="G112" s="125">
        <f t="shared" si="2"/>
        <v>0</v>
      </c>
      <c r="H112" s="243"/>
    </row>
    <row r="113" spans="1:8" ht="19.5">
      <c r="A113" s="3">
        <f>IF(F113="","",COUNTA($F$59:F113))</f>
        <v>54</v>
      </c>
      <c r="B113" s="25" t="s">
        <v>1036</v>
      </c>
      <c r="C113" s="21" t="s">
        <v>2980</v>
      </c>
      <c r="D113" s="62" t="s">
        <v>67</v>
      </c>
      <c r="E113" s="5">
        <v>122727</v>
      </c>
      <c r="F113" s="177">
        <v>122727</v>
      </c>
      <c r="G113" s="125">
        <f t="shared" si="2"/>
        <v>0</v>
      </c>
      <c r="H113" s="243"/>
    </row>
    <row r="114" spans="1:8" ht="19.5">
      <c r="A114" s="3">
        <f>IF(F114="","",COUNTA($F$59:F114))</f>
        <v>55</v>
      </c>
      <c r="B114" s="25" t="s">
        <v>1037</v>
      </c>
      <c r="C114" s="21" t="s">
        <v>2980</v>
      </c>
      <c r="E114" s="5">
        <v>88000</v>
      </c>
      <c r="F114" s="177">
        <v>88000</v>
      </c>
      <c r="G114" s="125">
        <f t="shared" si="2"/>
        <v>0</v>
      </c>
      <c r="H114" s="243"/>
    </row>
    <row r="115" spans="1:8" ht="19.5">
      <c r="A115" s="3">
        <f>IF(F115="","",COUNTA($F$59:F115))</f>
        <v>56</v>
      </c>
      <c r="B115" s="25" t="s">
        <v>1038</v>
      </c>
      <c r="C115" s="21" t="s">
        <v>2980</v>
      </c>
      <c r="D115" s="62" t="s">
        <v>66</v>
      </c>
      <c r="E115" s="5">
        <v>163000</v>
      </c>
      <c r="F115" s="177">
        <v>163000</v>
      </c>
      <c r="G115" s="125">
        <f t="shared" si="2"/>
        <v>0</v>
      </c>
      <c r="H115" s="243"/>
    </row>
    <row r="116" spans="1:8" ht="19.5" hidden="1">
      <c r="A116" s="3">
        <f>IF(F116="","",COUNTA($F$59:F116))</f>
      </c>
      <c r="B116" s="25" t="s">
        <v>719</v>
      </c>
      <c r="C116" s="21" t="s">
        <v>2980</v>
      </c>
      <c r="D116" s="62" t="s">
        <v>70</v>
      </c>
      <c r="E116" s="5"/>
      <c r="F116" s="177"/>
      <c r="G116" s="125" t="e">
        <f t="shared" si="2"/>
        <v>#DIV/0!</v>
      </c>
      <c r="H116" s="243" t="s">
        <v>730</v>
      </c>
    </row>
    <row r="117" spans="1:8" ht="19.5" hidden="1">
      <c r="A117" s="3">
        <f>IF(F117="","",COUNTA($F$59:F117))</f>
      </c>
      <c r="B117" s="25" t="s">
        <v>720</v>
      </c>
      <c r="C117" s="21" t="s">
        <v>2980</v>
      </c>
      <c r="D117" s="62" t="s">
        <v>69</v>
      </c>
      <c r="E117" s="5"/>
      <c r="F117" s="177"/>
      <c r="G117" s="125" t="e">
        <f t="shared" si="2"/>
        <v>#DIV/0!</v>
      </c>
      <c r="H117" s="243"/>
    </row>
    <row r="118" spans="1:8" ht="19.5" hidden="1">
      <c r="A118" s="3">
        <f>IF(F118="","",COUNTA($F$59:F118))</f>
      </c>
      <c r="B118" s="25" t="s">
        <v>721</v>
      </c>
      <c r="C118" s="21" t="s">
        <v>2980</v>
      </c>
      <c r="D118" s="62" t="s">
        <v>722</v>
      </c>
      <c r="E118" s="5"/>
      <c r="F118" s="177"/>
      <c r="G118" s="125" t="e">
        <f t="shared" si="2"/>
        <v>#DIV/0!</v>
      </c>
      <c r="H118" s="243"/>
    </row>
    <row r="119" spans="1:8" ht="19.5" hidden="1">
      <c r="A119" s="3">
        <f>IF(F119="","",COUNTA($F$59:F119))</f>
      </c>
      <c r="B119" s="25" t="s">
        <v>723</v>
      </c>
      <c r="C119" s="21" t="s">
        <v>2980</v>
      </c>
      <c r="D119" s="62" t="s">
        <v>725</v>
      </c>
      <c r="E119" s="5"/>
      <c r="F119" s="177"/>
      <c r="G119" s="125" t="e">
        <f t="shared" si="2"/>
        <v>#DIV/0!</v>
      </c>
      <c r="H119" s="243"/>
    </row>
    <row r="120" spans="1:8" ht="19.5" hidden="1">
      <c r="A120" s="3">
        <f>IF(F120="","",COUNTA($F$59:F120))</f>
      </c>
      <c r="B120" s="25" t="s">
        <v>724</v>
      </c>
      <c r="C120" s="21" t="s">
        <v>2980</v>
      </c>
      <c r="D120" s="62" t="s">
        <v>726</v>
      </c>
      <c r="E120" s="5"/>
      <c r="F120" s="177"/>
      <c r="G120" s="125" t="e">
        <f t="shared" si="2"/>
        <v>#DIV/0!</v>
      </c>
      <c r="H120" s="243"/>
    </row>
    <row r="121" spans="1:8" ht="19.5" hidden="1">
      <c r="A121" s="3">
        <f>IF(F121="","",COUNTA($F$59:F121))</f>
      </c>
      <c r="B121" s="25" t="s">
        <v>1038</v>
      </c>
      <c r="C121" s="21" t="s">
        <v>2980</v>
      </c>
      <c r="D121" s="62" t="s">
        <v>727</v>
      </c>
      <c r="E121" s="5"/>
      <c r="F121" s="177"/>
      <c r="G121" s="125" t="e">
        <f t="shared" si="2"/>
        <v>#DIV/0!</v>
      </c>
      <c r="H121" s="243"/>
    </row>
    <row r="122" spans="1:8" ht="19.5" hidden="1">
      <c r="A122" s="3">
        <f>IF(F122="","",COUNTA($F$59:F122))</f>
      </c>
      <c r="B122" s="25" t="s">
        <v>1035</v>
      </c>
      <c r="C122" s="21" t="s">
        <v>2980</v>
      </c>
      <c r="D122" s="62" t="s">
        <v>728</v>
      </c>
      <c r="E122" s="5"/>
      <c r="F122" s="177"/>
      <c r="G122" s="125" t="e">
        <f t="shared" si="2"/>
        <v>#DIV/0!</v>
      </c>
      <c r="H122" s="243"/>
    </row>
    <row r="123" spans="1:8" ht="19.5" hidden="1">
      <c r="A123" s="3">
        <f>IF(F123="","",COUNTA($F$59:F123))</f>
      </c>
      <c r="B123" s="25" t="s">
        <v>1036</v>
      </c>
      <c r="C123" s="21" t="s">
        <v>2980</v>
      </c>
      <c r="D123" s="62" t="s">
        <v>729</v>
      </c>
      <c r="E123" s="5"/>
      <c r="F123" s="177"/>
      <c r="G123" s="125" t="e">
        <f aca="true" t="shared" si="3" ref="G123:G131">(E123-F123)/F123</f>
        <v>#DIV/0!</v>
      </c>
      <c r="H123" s="243"/>
    </row>
    <row r="124" spans="1:8" ht="19.5">
      <c r="A124" s="3">
        <f>IF(F124="","",COUNTA($F$59:F124))</f>
        <v>57</v>
      </c>
      <c r="B124" s="25" t="s">
        <v>2421</v>
      </c>
      <c r="C124" s="21" t="s">
        <v>2980</v>
      </c>
      <c r="D124" s="62" t="s">
        <v>65</v>
      </c>
      <c r="E124" s="5">
        <f>264000/1.1</f>
        <v>239999.99999999997</v>
      </c>
      <c r="F124" s="177">
        <f>264000/1.1</f>
        <v>239999.99999999997</v>
      </c>
      <c r="G124" s="125">
        <f t="shared" si="3"/>
        <v>0</v>
      </c>
      <c r="H124" s="237" t="s">
        <v>1221</v>
      </c>
    </row>
    <row r="125" spans="1:8" ht="19.5">
      <c r="A125" s="3">
        <f>IF(F125="","",COUNTA($F$59:F125))</f>
        <v>58</v>
      </c>
      <c r="B125" s="25" t="s">
        <v>2422</v>
      </c>
      <c r="C125" s="21" t="s">
        <v>2980</v>
      </c>
      <c r="D125" s="62" t="s">
        <v>71</v>
      </c>
      <c r="E125" s="5">
        <f>264000/1.1</f>
        <v>239999.99999999997</v>
      </c>
      <c r="F125" s="177">
        <f>264000/1.1</f>
        <v>239999.99999999997</v>
      </c>
      <c r="G125" s="125">
        <f t="shared" si="3"/>
        <v>0</v>
      </c>
      <c r="H125" s="238"/>
    </row>
    <row r="126" spans="1:8" ht="19.5">
      <c r="A126" s="3">
        <f>IF(F126="","",COUNTA($F$59:F126))</f>
        <v>59</v>
      </c>
      <c r="B126" s="25" t="s">
        <v>2423</v>
      </c>
      <c r="C126" s="21" t="s">
        <v>2980</v>
      </c>
      <c r="D126" s="62" t="s">
        <v>72</v>
      </c>
      <c r="E126" s="5">
        <f>220000/1.1</f>
        <v>199999.99999999997</v>
      </c>
      <c r="F126" s="177">
        <f>220000/1.1</f>
        <v>199999.99999999997</v>
      </c>
      <c r="G126" s="125">
        <f t="shared" si="3"/>
        <v>0</v>
      </c>
      <c r="H126" s="238"/>
    </row>
    <row r="127" spans="1:8" ht="19.5">
      <c r="A127" s="3">
        <f>IF(F127="","",COUNTA($F$59:F127))</f>
        <v>60</v>
      </c>
      <c r="B127" s="25" t="s">
        <v>2424</v>
      </c>
      <c r="C127" s="21" t="s">
        <v>2980</v>
      </c>
      <c r="D127" s="62" t="s">
        <v>67</v>
      </c>
      <c r="E127" s="5">
        <f>170500/1.1</f>
        <v>155000</v>
      </c>
      <c r="F127" s="177">
        <f>170500/1.1</f>
        <v>155000</v>
      </c>
      <c r="G127" s="125">
        <f t="shared" si="3"/>
        <v>0</v>
      </c>
      <c r="H127" s="238"/>
    </row>
    <row r="128" spans="1:8" ht="19.5" hidden="1">
      <c r="A128" s="3">
        <f>IF(F128="","",COUNTA($F$59:F128))</f>
      </c>
      <c r="B128" s="25" t="s">
        <v>2425</v>
      </c>
      <c r="C128" s="21" t="s">
        <v>2980</v>
      </c>
      <c r="D128" s="62" t="s">
        <v>1022</v>
      </c>
      <c r="E128" s="5"/>
      <c r="F128" s="177"/>
      <c r="G128" s="125" t="e">
        <f t="shared" si="3"/>
        <v>#DIV/0!</v>
      </c>
      <c r="H128" s="238"/>
    </row>
    <row r="129" spans="1:8" ht="19.5">
      <c r="A129" s="3">
        <f>IF(F129="","",COUNTA($F$59:F129))</f>
        <v>61</v>
      </c>
      <c r="B129" s="25" t="s">
        <v>1222</v>
      </c>
      <c r="C129" s="21" t="s">
        <v>2980</v>
      </c>
      <c r="D129" s="62" t="s">
        <v>70</v>
      </c>
      <c r="E129" s="5">
        <f>170500/1.1</f>
        <v>155000</v>
      </c>
      <c r="F129" s="177">
        <f>170500/1.1</f>
        <v>155000</v>
      </c>
      <c r="G129" s="125">
        <f t="shared" si="3"/>
        <v>0</v>
      </c>
      <c r="H129" s="238"/>
    </row>
    <row r="130" spans="1:8" ht="19.5">
      <c r="A130" s="3">
        <f>IF(F130="","",COUNTA($F$59:F130))</f>
        <v>62</v>
      </c>
      <c r="B130" s="25" t="s">
        <v>1222</v>
      </c>
      <c r="C130" s="21" t="s">
        <v>2980</v>
      </c>
      <c r="D130" s="62" t="s">
        <v>69</v>
      </c>
      <c r="E130" s="5">
        <f>170500/1.1</f>
        <v>155000</v>
      </c>
      <c r="F130" s="177">
        <f>170500/1.1</f>
        <v>155000</v>
      </c>
      <c r="G130" s="125">
        <f t="shared" si="3"/>
        <v>0</v>
      </c>
      <c r="H130" s="238"/>
    </row>
    <row r="131" spans="1:8" ht="19.5">
      <c r="A131" s="3">
        <f>IF(F131="","",COUNTA($F$59:F131))</f>
        <v>63</v>
      </c>
      <c r="B131" s="25" t="s">
        <v>1223</v>
      </c>
      <c r="C131" s="21" t="s">
        <v>2980</v>
      </c>
      <c r="D131" s="62" t="s">
        <v>1224</v>
      </c>
      <c r="E131" s="5">
        <f>192500/1.1</f>
        <v>175000</v>
      </c>
      <c r="F131" s="177">
        <f>192500/1.1</f>
        <v>175000</v>
      </c>
      <c r="G131" s="125">
        <f t="shared" si="3"/>
        <v>0</v>
      </c>
      <c r="H131" s="239"/>
    </row>
    <row r="132" spans="1:8" s="69" customFormat="1" ht="16.5">
      <c r="A132" s="20" t="s">
        <v>1053</v>
      </c>
      <c r="B132" s="23" t="s">
        <v>1049</v>
      </c>
      <c r="C132" s="20"/>
      <c r="D132" s="68"/>
      <c r="E132" s="2"/>
      <c r="F132" s="175"/>
      <c r="G132" s="125"/>
      <c r="H132" s="20"/>
    </row>
    <row r="133" spans="1:8" s="69" customFormat="1" ht="17.25">
      <c r="A133" s="20"/>
      <c r="B133" s="35" t="s">
        <v>162</v>
      </c>
      <c r="C133" s="20"/>
      <c r="D133" s="68"/>
      <c r="E133" s="216"/>
      <c r="F133" s="213"/>
      <c r="G133" s="125"/>
      <c r="H133" s="237" t="s">
        <v>167</v>
      </c>
    </row>
    <row r="134" spans="1:8" ht="16.5" customHeight="1">
      <c r="A134" s="3">
        <f>IF(F134="","",COUNTA($F$134:F134))</f>
        <v>1</v>
      </c>
      <c r="B134" s="22" t="s">
        <v>162</v>
      </c>
      <c r="C134" s="21" t="s">
        <v>1040</v>
      </c>
      <c r="D134" s="43" t="s">
        <v>163</v>
      </c>
      <c r="E134" s="85">
        <f>19000/1.1</f>
        <v>17272.727272727272</v>
      </c>
      <c r="F134" s="85">
        <f>19000/1.1</f>
        <v>17272.727272727272</v>
      </c>
      <c r="G134" s="125">
        <f aca="true" t="shared" si="4" ref="G134:G174">(E134-F134)/F134</f>
        <v>0</v>
      </c>
      <c r="H134" s="238"/>
    </row>
    <row r="135" spans="1:8" ht="16.5">
      <c r="A135" s="3">
        <f>IF(F135="","",COUNTA($F$134:F135))</f>
        <v>2</v>
      </c>
      <c r="B135" s="22" t="s">
        <v>162</v>
      </c>
      <c r="C135" s="21" t="s">
        <v>1040</v>
      </c>
      <c r="D135" s="43" t="s">
        <v>164</v>
      </c>
      <c r="E135" s="85">
        <f>19200/1.1</f>
        <v>17454.545454545452</v>
      </c>
      <c r="F135" s="85">
        <f>19200/1.1</f>
        <v>17454.545454545452</v>
      </c>
      <c r="G135" s="125">
        <f t="shared" si="4"/>
        <v>0</v>
      </c>
      <c r="H135" s="238"/>
    </row>
    <row r="136" spans="1:9" ht="16.5">
      <c r="A136" s="3">
        <f>IF(F136="","",COUNTA($F$134:F136))</f>
        <v>3</v>
      </c>
      <c r="B136" s="22" t="s">
        <v>162</v>
      </c>
      <c r="C136" s="21" t="s">
        <v>1040</v>
      </c>
      <c r="D136" s="43" t="s">
        <v>165</v>
      </c>
      <c r="E136" s="85">
        <f>19100/1.1</f>
        <v>17363.636363636364</v>
      </c>
      <c r="F136" s="85">
        <f>19100/1.1</f>
        <v>17363.636363636364</v>
      </c>
      <c r="G136" s="125">
        <f t="shared" si="4"/>
        <v>0</v>
      </c>
      <c r="H136" s="238"/>
      <c r="I136" s="188">
        <f>MIN(G134:G144)</f>
        <v>0</v>
      </c>
    </row>
    <row r="137" spans="1:9" ht="16.5">
      <c r="A137" s="3">
        <f>IF(F137="","",COUNTA($F$134:F137))</f>
        <v>4</v>
      </c>
      <c r="B137" s="22" t="s">
        <v>162</v>
      </c>
      <c r="C137" s="21" t="s">
        <v>1040</v>
      </c>
      <c r="D137" s="43" t="s">
        <v>176</v>
      </c>
      <c r="E137" s="85">
        <f>19000/1.1</f>
        <v>17272.727272727272</v>
      </c>
      <c r="F137" s="85">
        <f>19000/1.1</f>
        <v>17272.727272727272</v>
      </c>
      <c r="G137" s="125">
        <f t="shared" si="4"/>
        <v>0</v>
      </c>
      <c r="H137" s="238"/>
      <c r="I137" s="188">
        <f>MAX(G134:G144)</f>
        <v>0</v>
      </c>
    </row>
    <row r="138" spans="1:8" ht="16.5">
      <c r="A138" s="3">
        <f>IF(F138="","",COUNTA($F$134:F138))</f>
        <v>5</v>
      </c>
      <c r="B138" s="22" t="s">
        <v>162</v>
      </c>
      <c r="C138" s="21" t="s">
        <v>1040</v>
      </c>
      <c r="D138" s="43" t="s">
        <v>177</v>
      </c>
      <c r="E138" s="85">
        <f>19100/1.1</f>
        <v>17363.636363636364</v>
      </c>
      <c r="F138" s="85">
        <f>19100/1.1</f>
        <v>17363.636363636364</v>
      </c>
      <c r="G138" s="125">
        <f t="shared" si="4"/>
        <v>0</v>
      </c>
      <c r="H138" s="238"/>
    </row>
    <row r="139" spans="1:8" ht="17.25">
      <c r="A139" s="3"/>
      <c r="B139" s="35" t="s">
        <v>166</v>
      </c>
      <c r="D139" s="43"/>
      <c r="E139" s="85"/>
      <c r="F139" s="85"/>
      <c r="G139" s="125"/>
      <c r="H139" s="238"/>
    </row>
    <row r="140" spans="1:8" ht="16.5">
      <c r="A140" s="3">
        <f>IF(F140="","",COUNTA($F$134:F140))</f>
        <v>6</v>
      </c>
      <c r="B140" s="22" t="s">
        <v>166</v>
      </c>
      <c r="C140" s="21" t="s">
        <v>1040</v>
      </c>
      <c r="D140" s="43" t="s">
        <v>163</v>
      </c>
      <c r="E140" s="85">
        <f>18800/1.1</f>
        <v>17090.90909090909</v>
      </c>
      <c r="F140" s="85">
        <f>18800/1.1</f>
        <v>17090.90909090909</v>
      </c>
      <c r="G140" s="125">
        <f t="shared" si="4"/>
        <v>0</v>
      </c>
      <c r="H140" s="238"/>
    </row>
    <row r="141" spans="1:8" ht="16.5">
      <c r="A141" s="3">
        <f>IF(F141="","",COUNTA($F$134:F141))</f>
        <v>7</v>
      </c>
      <c r="B141" s="22" t="s">
        <v>166</v>
      </c>
      <c r="C141" s="21" t="s">
        <v>1040</v>
      </c>
      <c r="D141" s="43" t="s">
        <v>164</v>
      </c>
      <c r="E141" s="85">
        <f>19100/1.1</f>
        <v>17363.636363636364</v>
      </c>
      <c r="F141" s="85">
        <f>19100/1.1</f>
        <v>17363.636363636364</v>
      </c>
      <c r="G141" s="125">
        <f t="shared" si="4"/>
        <v>0</v>
      </c>
      <c r="H141" s="238"/>
    </row>
    <row r="142" spans="1:8" ht="16.5">
      <c r="A142" s="3">
        <f>IF(F142="","",COUNTA($F$134:F142))</f>
        <v>8</v>
      </c>
      <c r="B142" s="22" t="s">
        <v>166</v>
      </c>
      <c r="C142" s="21" t="s">
        <v>1040</v>
      </c>
      <c r="D142" s="43" t="s">
        <v>165</v>
      </c>
      <c r="E142" s="85">
        <f>19000/1.1</f>
        <v>17272.727272727272</v>
      </c>
      <c r="F142" s="85">
        <f>19000/1.1</f>
        <v>17272.727272727272</v>
      </c>
      <c r="G142" s="125">
        <f t="shared" si="4"/>
        <v>0</v>
      </c>
      <c r="H142" s="238"/>
    </row>
    <row r="143" spans="1:8" ht="16.5">
      <c r="A143" s="3">
        <f>IF(F143="","",COUNTA($F$134:F143))</f>
        <v>9</v>
      </c>
      <c r="B143" s="22" t="s">
        <v>166</v>
      </c>
      <c r="C143" s="21" t="s">
        <v>1040</v>
      </c>
      <c r="D143" s="43" t="s">
        <v>176</v>
      </c>
      <c r="E143" s="85">
        <f>18800/1.1</f>
        <v>17090.90909090909</v>
      </c>
      <c r="F143" s="85">
        <f>18800/1.1</f>
        <v>17090.90909090909</v>
      </c>
      <c r="G143" s="125">
        <f t="shared" si="4"/>
        <v>0</v>
      </c>
      <c r="H143" s="238"/>
    </row>
    <row r="144" spans="1:8" ht="16.5">
      <c r="A144" s="3">
        <f>IF(F144="","",COUNTA($F$134:F144))</f>
        <v>10</v>
      </c>
      <c r="B144" s="22" t="s">
        <v>166</v>
      </c>
      <c r="C144" s="21" t="s">
        <v>1040</v>
      </c>
      <c r="D144" s="43" t="s">
        <v>177</v>
      </c>
      <c r="E144" s="85">
        <f>19000/1.1</f>
        <v>17272.727272727272</v>
      </c>
      <c r="F144" s="85">
        <f>19000/1.1</f>
        <v>17272.727272727272</v>
      </c>
      <c r="G144" s="125">
        <f t="shared" si="4"/>
        <v>0</v>
      </c>
      <c r="H144" s="239"/>
    </row>
    <row r="145" spans="1:11" ht="17.25">
      <c r="A145" s="3"/>
      <c r="B145" s="35" t="s">
        <v>3293</v>
      </c>
      <c r="E145" s="85"/>
      <c r="F145" s="178"/>
      <c r="G145" s="125"/>
      <c r="H145" s="237" t="s">
        <v>1062</v>
      </c>
      <c r="K145" s="129"/>
    </row>
    <row r="146" spans="1:11" ht="16.5" customHeight="1">
      <c r="A146" s="3">
        <f>IF(F146="","",COUNTA($F$134:F146))</f>
        <v>11</v>
      </c>
      <c r="B146" s="22" t="s">
        <v>1041</v>
      </c>
      <c r="C146" s="21" t="s">
        <v>1040</v>
      </c>
      <c r="D146" s="62" t="s">
        <v>1065</v>
      </c>
      <c r="E146" s="85">
        <v>16450</v>
      </c>
      <c r="F146" s="178">
        <v>16450</v>
      </c>
      <c r="G146" s="125">
        <f t="shared" si="4"/>
        <v>0</v>
      </c>
      <c r="H146" s="238"/>
      <c r="K146" s="129"/>
    </row>
    <row r="147" spans="1:11" ht="16.5">
      <c r="A147" s="3">
        <f>IF(F147="","",COUNTA($F$134:F147))</f>
        <v>12</v>
      </c>
      <c r="B147" s="22" t="s">
        <v>1042</v>
      </c>
      <c r="C147" s="21" t="s">
        <v>1040</v>
      </c>
      <c r="D147" s="62" t="s">
        <v>1066</v>
      </c>
      <c r="E147" s="85">
        <v>16500</v>
      </c>
      <c r="F147" s="178">
        <v>16350</v>
      </c>
      <c r="G147" s="125">
        <f>(E147-F147)/F147</f>
        <v>0.009174311926605505</v>
      </c>
      <c r="H147" s="238"/>
      <c r="I147" s="188">
        <f>MIN(G147:G152)</f>
        <v>0.009009009009009009</v>
      </c>
      <c r="K147" s="129"/>
    </row>
    <row r="148" spans="1:11" ht="16.5">
      <c r="A148" s="3">
        <f>IF(F148="","",COUNTA($F$134:F148))</f>
        <v>13</v>
      </c>
      <c r="B148" s="22" t="s">
        <v>1043</v>
      </c>
      <c r="C148" s="21" t="s">
        <v>1040</v>
      </c>
      <c r="D148" s="62" t="s">
        <v>1067</v>
      </c>
      <c r="E148" s="85">
        <v>16350</v>
      </c>
      <c r="F148" s="178">
        <v>16200</v>
      </c>
      <c r="G148" s="125">
        <f t="shared" si="4"/>
        <v>0.009259259259259259</v>
      </c>
      <c r="H148" s="238"/>
      <c r="I148" s="188">
        <f>MAX(G146:G152)</f>
        <v>0.009259259259259259</v>
      </c>
      <c r="K148" s="129"/>
    </row>
    <row r="149" spans="1:11" ht="16.5">
      <c r="A149" s="3">
        <f>IF(F149="","",COUNTA($F$134:F149))</f>
        <v>14</v>
      </c>
      <c r="B149" s="22" t="s">
        <v>1044</v>
      </c>
      <c r="C149" s="21" t="s">
        <v>1040</v>
      </c>
      <c r="D149" s="62" t="s">
        <v>1068</v>
      </c>
      <c r="E149" s="85">
        <v>16700</v>
      </c>
      <c r="F149" s="178">
        <v>16550</v>
      </c>
      <c r="G149" s="125">
        <f t="shared" si="4"/>
        <v>0.00906344410876133</v>
      </c>
      <c r="H149" s="238"/>
      <c r="K149" s="129"/>
    </row>
    <row r="150" spans="1:11" ht="16.5">
      <c r="A150" s="3">
        <f>IF(F150="","",COUNTA($F$134:F150))</f>
        <v>15</v>
      </c>
      <c r="B150" s="22" t="s">
        <v>1045</v>
      </c>
      <c r="C150" s="21" t="s">
        <v>1040</v>
      </c>
      <c r="D150" s="62" t="s">
        <v>1069</v>
      </c>
      <c r="E150" s="85">
        <v>16550</v>
      </c>
      <c r="F150" s="178">
        <v>16400</v>
      </c>
      <c r="G150" s="125">
        <f t="shared" si="4"/>
        <v>0.009146341463414634</v>
      </c>
      <c r="H150" s="238"/>
      <c r="K150" s="129"/>
    </row>
    <row r="151" spans="1:11" ht="16.5">
      <c r="A151" s="3">
        <f>IF(F151="","",COUNTA($F$134:F151))</f>
        <v>16</v>
      </c>
      <c r="B151" s="22" t="s">
        <v>1046</v>
      </c>
      <c r="C151" s="21" t="s">
        <v>1040</v>
      </c>
      <c r="D151" s="62" t="s">
        <v>1070</v>
      </c>
      <c r="E151" s="85">
        <v>16800</v>
      </c>
      <c r="F151" s="178">
        <v>16650</v>
      </c>
      <c r="G151" s="125">
        <f t="shared" si="4"/>
        <v>0.009009009009009009</v>
      </c>
      <c r="H151" s="238"/>
      <c r="K151" s="129"/>
    </row>
    <row r="152" spans="1:11" ht="16.5">
      <c r="A152" s="3">
        <f>IF(F152="","",COUNTA($F$134:F152))</f>
        <v>17</v>
      </c>
      <c r="B152" s="22" t="s">
        <v>1047</v>
      </c>
      <c r="C152" s="21" t="s">
        <v>1040</v>
      </c>
      <c r="D152" s="62" t="s">
        <v>1071</v>
      </c>
      <c r="E152" s="85">
        <v>16650</v>
      </c>
      <c r="F152" s="178">
        <v>16500</v>
      </c>
      <c r="G152" s="125">
        <f t="shared" si="4"/>
        <v>0.00909090909090909</v>
      </c>
      <c r="H152" s="239"/>
      <c r="K152" s="129"/>
    </row>
    <row r="153" spans="1:11" ht="17.25">
      <c r="A153" s="3"/>
      <c r="B153" s="35" t="s">
        <v>3295</v>
      </c>
      <c r="E153" s="85"/>
      <c r="F153" s="178"/>
      <c r="G153" s="125"/>
      <c r="H153" s="237" t="s">
        <v>3294</v>
      </c>
      <c r="K153" s="129"/>
    </row>
    <row r="154" spans="1:11" ht="16.5" customHeight="1">
      <c r="A154" s="3">
        <f>IF(F154="","",COUNTA($F$134:F154))</f>
        <v>18</v>
      </c>
      <c r="B154" s="22" t="s">
        <v>3296</v>
      </c>
      <c r="C154" s="21" t="s">
        <v>1040</v>
      </c>
      <c r="D154" s="62" t="s">
        <v>3298</v>
      </c>
      <c r="E154" s="85">
        <v>16600</v>
      </c>
      <c r="F154" s="178">
        <v>16600</v>
      </c>
      <c r="G154" s="125">
        <f aca="true" t="shared" si="5" ref="G154:G160">(E154-F154)/F154</f>
        <v>0</v>
      </c>
      <c r="H154" s="238"/>
      <c r="K154" s="129"/>
    </row>
    <row r="155" spans="1:11" ht="16.5">
      <c r="A155" s="3">
        <f>IF(F155="","",COUNTA($F$134:F155))</f>
        <v>19</v>
      </c>
      <c r="B155" s="22" t="s">
        <v>3297</v>
      </c>
      <c r="C155" s="21" t="s">
        <v>1040</v>
      </c>
      <c r="D155" s="62" t="s">
        <v>3299</v>
      </c>
      <c r="E155" s="85">
        <v>16750</v>
      </c>
      <c r="F155" s="178">
        <v>16750</v>
      </c>
      <c r="G155" s="125">
        <f t="shared" si="5"/>
        <v>0</v>
      </c>
      <c r="H155" s="238"/>
      <c r="I155" s="188">
        <f>MIN(G154:G160)</f>
        <v>0</v>
      </c>
      <c r="K155" s="129"/>
    </row>
    <row r="156" spans="1:11" ht="16.5">
      <c r="A156" s="3">
        <f>IF(F156="","",COUNTA($F$134:F156))</f>
        <v>20</v>
      </c>
      <c r="B156" s="22" t="s">
        <v>3300</v>
      </c>
      <c r="C156" s="21" t="s">
        <v>1040</v>
      </c>
      <c r="D156" s="62" t="s">
        <v>3301</v>
      </c>
      <c r="E156" s="85">
        <v>16650</v>
      </c>
      <c r="F156" s="178">
        <v>16650</v>
      </c>
      <c r="G156" s="125">
        <f t="shared" si="5"/>
        <v>0</v>
      </c>
      <c r="H156" s="238"/>
      <c r="I156" s="188">
        <f>MAX(G154:G160)</f>
        <v>0</v>
      </c>
      <c r="K156" s="129"/>
    </row>
    <row r="157" spans="1:11" ht="16.5">
      <c r="A157" s="3">
        <f>IF(F157="","",COUNTA($F$134:F157))</f>
        <v>21</v>
      </c>
      <c r="B157" s="22" t="s">
        <v>3302</v>
      </c>
      <c r="C157" s="21" t="s">
        <v>1040</v>
      </c>
      <c r="D157" s="62" t="s">
        <v>3303</v>
      </c>
      <c r="E157" s="85">
        <v>16600</v>
      </c>
      <c r="F157" s="178">
        <v>16600</v>
      </c>
      <c r="G157" s="125">
        <f t="shared" si="5"/>
        <v>0</v>
      </c>
      <c r="H157" s="238"/>
      <c r="I157" s="188">
        <f>MAX(G155:G161)</f>
        <v>0</v>
      </c>
      <c r="K157" s="129"/>
    </row>
    <row r="158" spans="1:11" ht="33">
      <c r="A158" s="3">
        <f>IF(F158="","",COUNTA($F$134:F158))</f>
        <v>22</v>
      </c>
      <c r="B158" s="42" t="s">
        <v>3307</v>
      </c>
      <c r="C158" s="21" t="s">
        <v>1040</v>
      </c>
      <c r="D158" s="43" t="s">
        <v>3304</v>
      </c>
      <c r="E158" s="85">
        <v>19650</v>
      </c>
      <c r="F158" s="178">
        <v>19650</v>
      </c>
      <c r="G158" s="125">
        <f t="shared" si="5"/>
        <v>0</v>
      </c>
      <c r="H158" s="238"/>
      <c r="K158" s="129"/>
    </row>
    <row r="159" spans="1:11" ht="33">
      <c r="A159" s="3">
        <f>IF(F159="","",COUNTA($F$134:F159))</f>
        <v>23</v>
      </c>
      <c r="B159" s="42" t="s">
        <v>3308</v>
      </c>
      <c r="C159" s="21" t="s">
        <v>1040</v>
      </c>
      <c r="D159" s="43" t="s">
        <v>3305</v>
      </c>
      <c r="E159" s="85">
        <v>16850</v>
      </c>
      <c r="F159" s="178">
        <v>16850</v>
      </c>
      <c r="G159" s="125">
        <f t="shared" si="5"/>
        <v>0</v>
      </c>
      <c r="H159" s="238"/>
      <c r="K159" s="129"/>
    </row>
    <row r="160" spans="1:11" ht="33">
      <c r="A160" s="3">
        <f>IF(F160="","",COUNTA($F$134:F160))</f>
        <v>24</v>
      </c>
      <c r="B160" s="42" t="s">
        <v>3309</v>
      </c>
      <c r="C160" s="21" t="s">
        <v>1040</v>
      </c>
      <c r="D160" s="43" t="s">
        <v>3306</v>
      </c>
      <c r="E160" s="85">
        <v>16800</v>
      </c>
      <c r="F160" s="178">
        <v>16800</v>
      </c>
      <c r="G160" s="125">
        <f t="shared" si="5"/>
        <v>0</v>
      </c>
      <c r="H160" s="239"/>
      <c r="K160" s="129"/>
    </row>
    <row r="161" spans="1:8" s="69" customFormat="1" ht="16.5">
      <c r="A161" s="20" t="s">
        <v>1063</v>
      </c>
      <c r="B161" s="23" t="s">
        <v>1054</v>
      </c>
      <c r="C161" s="20"/>
      <c r="D161" s="68"/>
      <c r="E161" s="2"/>
      <c r="F161" s="2"/>
      <c r="G161" s="125"/>
      <c r="H161" s="20"/>
    </row>
    <row r="162" spans="1:8" ht="24" customHeight="1">
      <c r="A162" s="3">
        <f>IF(F162="","",COUNTA($F$162:F162))</f>
        <v>1</v>
      </c>
      <c r="B162" s="24" t="s">
        <v>1056</v>
      </c>
      <c r="C162" s="21" t="s">
        <v>1050</v>
      </c>
      <c r="E162" s="85">
        <f>1935/1.1</f>
        <v>1759.090909090909</v>
      </c>
      <c r="F162" s="178">
        <f>1935/1.1</f>
        <v>1759.090909090909</v>
      </c>
      <c r="G162" s="125">
        <f t="shared" si="4"/>
        <v>0</v>
      </c>
      <c r="H162" s="243" t="s">
        <v>1055</v>
      </c>
    </row>
    <row r="163" spans="1:8" ht="24" customHeight="1">
      <c r="A163" s="3">
        <f>IF(F163="","",COUNTA($F$162:F163))</f>
        <v>2</v>
      </c>
      <c r="B163" s="24" t="s">
        <v>1057</v>
      </c>
      <c r="C163" s="21" t="s">
        <v>1050</v>
      </c>
      <c r="E163" s="85">
        <f>1865/1.1</f>
        <v>1695.4545454545453</v>
      </c>
      <c r="F163" s="178">
        <f>1865/1.1</f>
        <v>1695.4545454545453</v>
      </c>
      <c r="G163" s="125">
        <f t="shared" si="4"/>
        <v>0</v>
      </c>
      <c r="H163" s="243"/>
    </row>
    <row r="164" spans="1:8" ht="24" customHeight="1">
      <c r="A164" s="3">
        <f>IF(F164="","",COUNTA($F$162:F164))</f>
        <v>3</v>
      </c>
      <c r="B164" s="24" t="s">
        <v>1058</v>
      </c>
      <c r="C164" s="21" t="s">
        <v>1050</v>
      </c>
      <c r="E164" s="85">
        <f>1685/1.1</f>
        <v>1531.8181818181818</v>
      </c>
      <c r="F164" s="178">
        <f>1685/1.1</f>
        <v>1531.8181818181818</v>
      </c>
      <c r="G164" s="125">
        <f t="shared" si="4"/>
        <v>0</v>
      </c>
      <c r="H164" s="243"/>
    </row>
    <row r="165" spans="1:8" ht="33.75" customHeight="1">
      <c r="A165" s="3">
        <f>IF(F165="","",COUNTA($F$162:F165))</f>
        <v>4</v>
      </c>
      <c r="B165" s="24" t="s">
        <v>1059</v>
      </c>
      <c r="C165" s="21" t="s">
        <v>1050</v>
      </c>
      <c r="E165" s="85">
        <v>1340</v>
      </c>
      <c r="F165" s="178">
        <v>1340</v>
      </c>
      <c r="G165" s="125">
        <f t="shared" si="4"/>
        <v>0</v>
      </c>
      <c r="H165" s="243" t="s">
        <v>45</v>
      </c>
    </row>
    <row r="166" spans="1:8" ht="33.75" customHeight="1">
      <c r="A166" s="3">
        <f>IF(F166="","",COUNTA($F$162:F166))</f>
        <v>5</v>
      </c>
      <c r="B166" s="24" t="s">
        <v>1060</v>
      </c>
      <c r="C166" s="21" t="s">
        <v>1050</v>
      </c>
      <c r="E166" s="85">
        <v>1400</v>
      </c>
      <c r="F166" s="178">
        <v>1400</v>
      </c>
      <c r="G166" s="125">
        <f t="shared" si="4"/>
        <v>0</v>
      </c>
      <c r="H166" s="243"/>
    </row>
    <row r="167" spans="1:8" s="104" customFormat="1" ht="99">
      <c r="A167" s="3">
        <f>IF(F167="","",COUNTA($F$162:F167))</f>
        <v>6</v>
      </c>
      <c r="B167" s="24" t="s">
        <v>1061</v>
      </c>
      <c r="C167" s="21" t="s">
        <v>1050</v>
      </c>
      <c r="D167" s="103"/>
      <c r="E167" s="85">
        <f>1900/1.1</f>
        <v>1727.272727272727</v>
      </c>
      <c r="F167" s="178">
        <f>1900/1.1</f>
        <v>1727.272727272727</v>
      </c>
      <c r="G167" s="125">
        <f t="shared" si="4"/>
        <v>0</v>
      </c>
      <c r="H167" s="186" t="s">
        <v>1220</v>
      </c>
    </row>
    <row r="168" spans="1:8" ht="36.75" customHeight="1">
      <c r="A168" s="3">
        <f>IF(F168="","",COUNTA($F$162:F168))</f>
        <v>7</v>
      </c>
      <c r="B168" s="22" t="s">
        <v>1051</v>
      </c>
      <c r="C168" s="21" t="s">
        <v>1050</v>
      </c>
      <c r="E168" s="85">
        <f>1740/1.1</f>
        <v>1581.8181818181818</v>
      </c>
      <c r="F168" s="178">
        <f>1740/1.1</f>
        <v>1581.8181818181818</v>
      </c>
      <c r="G168" s="125">
        <f t="shared" si="4"/>
        <v>0</v>
      </c>
      <c r="H168" s="243" t="s">
        <v>3273</v>
      </c>
    </row>
    <row r="169" spans="1:8" ht="36.75" customHeight="1">
      <c r="A169" s="3">
        <f>IF(F169="","",COUNTA($F$162:F169))</f>
        <v>8</v>
      </c>
      <c r="B169" s="22" t="s">
        <v>1052</v>
      </c>
      <c r="C169" s="21" t="s">
        <v>1050</v>
      </c>
      <c r="E169" s="85">
        <f>1790/1.1</f>
        <v>1627.2727272727273</v>
      </c>
      <c r="F169" s="178">
        <f>1790/1.1</f>
        <v>1627.2727272727273</v>
      </c>
      <c r="G169" s="125">
        <f t="shared" si="4"/>
        <v>0</v>
      </c>
      <c r="H169" s="243"/>
    </row>
    <row r="170" spans="1:8" ht="132">
      <c r="A170" s="3">
        <f>IF(F170="","",COUNTA($F$162:F170))</f>
        <v>9</v>
      </c>
      <c r="B170" s="42" t="s">
        <v>2277</v>
      </c>
      <c r="C170" s="21" t="s">
        <v>1050</v>
      </c>
      <c r="E170" s="85">
        <v>1574.074</v>
      </c>
      <c r="F170" s="178">
        <v>1574.074</v>
      </c>
      <c r="G170" s="125">
        <f t="shared" si="4"/>
        <v>0</v>
      </c>
      <c r="H170" s="43" t="s">
        <v>942</v>
      </c>
    </row>
    <row r="171" spans="1:8" ht="23.25" customHeight="1">
      <c r="A171" s="3">
        <f>IF(F171="","",COUNTA($F$162:F171))</f>
        <v>10</v>
      </c>
      <c r="B171" s="22" t="s">
        <v>160</v>
      </c>
      <c r="C171" s="21" t="s">
        <v>1050</v>
      </c>
      <c r="E171" s="85">
        <f>1580/1.1</f>
        <v>1436.3636363636363</v>
      </c>
      <c r="F171" s="178">
        <f>1580/1.1</f>
        <v>1436.3636363636363</v>
      </c>
      <c r="G171" s="125">
        <f t="shared" si="4"/>
        <v>0</v>
      </c>
      <c r="H171" s="243" t="s">
        <v>167</v>
      </c>
    </row>
    <row r="172" spans="1:8" ht="23.25" customHeight="1">
      <c r="A172" s="3">
        <f>IF(F172="","",COUNTA($F$162:F172))</f>
        <v>11</v>
      </c>
      <c r="B172" s="22" t="s">
        <v>161</v>
      </c>
      <c r="C172" s="21" t="s">
        <v>1050</v>
      </c>
      <c r="E172" s="85">
        <f>1680/1.1</f>
        <v>1527.2727272727273</v>
      </c>
      <c r="F172" s="178">
        <f>1680/1.1</f>
        <v>1527.2727272727273</v>
      </c>
      <c r="G172" s="125">
        <f t="shared" si="4"/>
        <v>0</v>
      </c>
      <c r="H172" s="243"/>
    </row>
    <row r="173" spans="1:8" ht="23.25" customHeight="1">
      <c r="A173" s="3">
        <f>IF(F173="","",COUNTA($F$162:F173))</f>
        <v>12</v>
      </c>
      <c r="B173" s="22" t="s">
        <v>158</v>
      </c>
      <c r="C173" s="21" t="s">
        <v>1050</v>
      </c>
      <c r="E173" s="85">
        <f>1530/1.1</f>
        <v>1390.9090909090908</v>
      </c>
      <c r="F173" s="178">
        <f>1530/1.1</f>
        <v>1390.9090909090908</v>
      </c>
      <c r="G173" s="125">
        <f t="shared" si="4"/>
        <v>0</v>
      </c>
      <c r="H173" s="243"/>
    </row>
    <row r="174" spans="1:8" ht="23.25" customHeight="1">
      <c r="A174" s="3">
        <f>IF(F174="","",COUNTA($F$162:F174))</f>
        <v>13</v>
      </c>
      <c r="B174" s="22" t="s">
        <v>159</v>
      </c>
      <c r="C174" s="21" t="s">
        <v>1050</v>
      </c>
      <c r="E174" s="85">
        <f>1400/1.1</f>
        <v>1272.7272727272725</v>
      </c>
      <c r="F174" s="178">
        <f>1400/1.1</f>
        <v>1272.7272727272725</v>
      </c>
      <c r="G174" s="125">
        <f t="shared" si="4"/>
        <v>0</v>
      </c>
      <c r="H174" s="243"/>
    </row>
    <row r="175" spans="1:8" ht="46.5" customHeight="1">
      <c r="A175" s="3">
        <f>IF(E175="","",COUNTA($E$162:E175))</f>
        <v>14</v>
      </c>
      <c r="B175" s="22" t="s">
        <v>3219</v>
      </c>
      <c r="C175" s="21" t="s">
        <v>1050</v>
      </c>
      <c r="E175" s="85">
        <f>1750/1.1</f>
        <v>1590.9090909090908</v>
      </c>
      <c r="F175" s="178">
        <f>1750/1.1</f>
        <v>1590.9090909090908</v>
      </c>
      <c r="G175" s="125">
        <f>(E175-F175)/F175</f>
        <v>0</v>
      </c>
      <c r="H175" s="243" t="s">
        <v>3222</v>
      </c>
    </row>
    <row r="176" spans="1:8" ht="46.5" customHeight="1">
      <c r="A176" s="3">
        <f>IF(E176="","",COUNTA($E$162:E176))</f>
        <v>15</v>
      </c>
      <c r="B176" s="22" t="s">
        <v>3220</v>
      </c>
      <c r="C176" s="21" t="s">
        <v>1050</v>
      </c>
      <c r="E176" s="85">
        <f>1670/1.1</f>
        <v>1518.181818181818</v>
      </c>
      <c r="F176" s="178">
        <f>1670/1.1</f>
        <v>1518.181818181818</v>
      </c>
      <c r="G176" s="125">
        <f>(E176-F176)/F176</f>
        <v>0</v>
      </c>
      <c r="H176" s="243"/>
    </row>
    <row r="177" spans="1:8" ht="46.5" customHeight="1">
      <c r="A177" s="3">
        <f>IF(E177="","",COUNTA($E$162:E177))</f>
        <v>16</v>
      </c>
      <c r="B177" s="22" t="s">
        <v>3221</v>
      </c>
      <c r="C177" s="21" t="s">
        <v>1050</v>
      </c>
      <c r="E177" s="85">
        <f>1600/1.1</f>
        <v>1454.5454545454545</v>
      </c>
      <c r="F177" s="178">
        <f>1600/1.1</f>
        <v>1454.5454545454545</v>
      </c>
      <c r="G177" s="125">
        <f>(E177-F177)/F177</f>
        <v>0</v>
      </c>
      <c r="H177" s="243"/>
    </row>
    <row r="178" spans="1:7" ht="16.5">
      <c r="A178" s="20" t="s">
        <v>1090</v>
      </c>
      <c r="B178" s="23" t="s">
        <v>1064</v>
      </c>
      <c r="G178" s="125"/>
    </row>
    <row r="179" spans="1:8" ht="19.5">
      <c r="A179" s="3">
        <f>IF(F179="","",COUNTA($F$179:F179))</f>
        <v>1</v>
      </c>
      <c r="B179" s="24" t="s">
        <v>1072</v>
      </c>
      <c r="C179" s="21" t="s">
        <v>2980</v>
      </c>
      <c r="D179" s="243" t="s">
        <v>1075</v>
      </c>
      <c r="E179" s="8">
        <v>1150000</v>
      </c>
      <c r="F179" s="174">
        <v>1150000</v>
      </c>
      <c r="G179" s="125">
        <f>(E179-F179)/F179</f>
        <v>0</v>
      </c>
      <c r="H179" s="243" t="s">
        <v>1084</v>
      </c>
    </row>
    <row r="180" spans="1:8" ht="19.5">
      <c r="A180" s="3">
        <f>IF(F180="","",COUNTA($F$179:F180))</f>
        <v>2</v>
      </c>
      <c r="B180" s="24" t="s">
        <v>1073</v>
      </c>
      <c r="C180" s="21" t="s">
        <v>2980</v>
      </c>
      <c r="D180" s="243"/>
      <c r="E180" s="8">
        <v>1270000</v>
      </c>
      <c r="F180" s="174">
        <v>1270000</v>
      </c>
      <c r="G180" s="125">
        <f aca="true" t="shared" si="6" ref="G180:G194">(E180-F180)/F180</f>
        <v>0</v>
      </c>
      <c r="H180" s="243"/>
    </row>
    <row r="181" spans="1:8" ht="19.5">
      <c r="A181" s="3">
        <f>IF(F181="","",COUNTA($F$179:F181))</f>
        <v>3</v>
      </c>
      <c r="B181" s="24" t="s">
        <v>1074</v>
      </c>
      <c r="C181" s="21" t="s">
        <v>2980</v>
      </c>
      <c r="D181" s="243"/>
      <c r="E181" s="8">
        <v>1320000</v>
      </c>
      <c r="F181" s="174">
        <v>1320000</v>
      </c>
      <c r="G181" s="125">
        <f t="shared" si="6"/>
        <v>0</v>
      </c>
      <c r="H181" s="243"/>
    </row>
    <row r="182" spans="1:8" ht="19.5">
      <c r="A182" s="3">
        <f>IF(F182="","",COUNTA($F$179:F182))</f>
        <v>4</v>
      </c>
      <c r="B182" s="24" t="s">
        <v>1076</v>
      </c>
      <c r="C182" s="21" t="s">
        <v>2980</v>
      </c>
      <c r="D182" s="243"/>
      <c r="E182" s="8">
        <v>1380000</v>
      </c>
      <c r="F182" s="174">
        <v>1380000</v>
      </c>
      <c r="G182" s="125">
        <f t="shared" si="6"/>
        <v>0</v>
      </c>
      <c r="H182" s="243"/>
    </row>
    <row r="183" spans="1:9" ht="19.5">
      <c r="A183" s="3">
        <f>IF(F183="","",COUNTA($F$179:F183))</f>
        <v>5</v>
      </c>
      <c r="B183" s="24" t="s">
        <v>1077</v>
      </c>
      <c r="C183" s="21" t="s">
        <v>2980</v>
      </c>
      <c r="D183" s="243"/>
      <c r="E183" s="8">
        <v>1450000</v>
      </c>
      <c r="F183" s="174">
        <v>1450000</v>
      </c>
      <c r="G183" s="125">
        <f t="shared" si="6"/>
        <v>0</v>
      </c>
      <c r="H183" s="243"/>
      <c r="I183" s="188">
        <f>MIN(G179:G194)</f>
        <v>0</v>
      </c>
    </row>
    <row r="184" spans="1:9" ht="19.5">
      <c r="A184" s="3">
        <f>IF(F184="","",COUNTA($F$179:F184))</f>
        <v>6</v>
      </c>
      <c r="B184" s="24" t="s">
        <v>1078</v>
      </c>
      <c r="C184" s="21" t="s">
        <v>2980</v>
      </c>
      <c r="D184" s="243"/>
      <c r="E184" s="8">
        <v>1520000</v>
      </c>
      <c r="F184" s="174">
        <v>1520000</v>
      </c>
      <c r="G184" s="125">
        <f t="shared" si="6"/>
        <v>0</v>
      </c>
      <c r="H184" s="243"/>
      <c r="I184" s="188">
        <f>MAX(G179:G194)</f>
        <v>0</v>
      </c>
    </row>
    <row r="185" spans="1:8" ht="19.5">
      <c r="A185" s="3">
        <f>IF(F185="","",COUNTA($F$179:F185))</f>
        <v>7</v>
      </c>
      <c r="B185" s="24" t="s">
        <v>1079</v>
      </c>
      <c r="C185" s="21" t="s">
        <v>2980</v>
      </c>
      <c r="D185" s="243"/>
      <c r="E185" s="8">
        <v>1590000</v>
      </c>
      <c r="F185" s="174">
        <v>1590000</v>
      </c>
      <c r="G185" s="125">
        <f t="shared" si="6"/>
        <v>0</v>
      </c>
      <c r="H185" s="243"/>
    </row>
    <row r="186" spans="1:8" ht="19.5">
      <c r="A186" s="3">
        <f>IF(F186="","",COUNTA($F$179:F186))</f>
        <v>8</v>
      </c>
      <c r="B186" s="24" t="s">
        <v>1080</v>
      </c>
      <c r="C186" s="21" t="s">
        <v>2980</v>
      </c>
      <c r="D186" s="243"/>
      <c r="E186" s="8">
        <v>1680000</v>
      </c>
      <c r="F186" s="174">
        <v>1680000</v>
      </c>
      <c r="G186" s="125">
        <f t="shared" si="6"/>
        <v>0</v>
      </c>
      <c r="H186" s="243"/>
    </row>
    <row r="187" spans="1:8" ht="19.5">
      <c r="A187" s="3">
        <f>IF(F187="","",COUNTA($F$179:F187))</f>
        <v>9</v>
      </c>
      <c r="B187" s="24" t="s">
        <v>1081</v>
      </c>
      <c r="C187" s="21" t="s">
        <v>2980</v>
      </c>
      <c r="D187" s="243"/>
      <c r="E187" s="8">
        <v>1780000</v>
      </c>
      <c r="F187" s="174">
        <v>1780000</v>
      </c>
      <c r="G187" s="125">
        <f t="shared" si="6"/>
        <v>0</v>
      </c>
      <c r="H187" s="243"/>
    </row>
    <row r="188" spans="1:8" ht="19.5">
      <c r="A188" s="3">
        <f>IF(F188="","",COUNTA($F$179:F188))</f>
        <v>10</v>
      </c>
      <c r="B188" s="24" t="s">
        <v>1082</v>
      </c>
      <c r="C188" s="21" t="s">
        <v>2980</v>
      </c>
      <c r="D188" s="243"/>
      <c r="E188" s="8">
        <v>1880000</v>
      </c>
      <c r="F188" s="174">
        <v>1880000</v>
      </c>
      <c r="G188" s="125">
        <f t="shared" si="6"/>
        <v>0</v>
      </c>
      <c r="H188" s="243"/>
    </row>
    <row r="189" spans="1:8" ht="19.5">
      <c r="A189" s="3">
        <f>IF(F189="","",COUNTA($F$179:F189))</f>
        <v>11</v>
      </c>
      <c r="B189" s="24" t="s">
        <v>1072</v>
      </c>
      <c r="C189" s="21" t="s">
        <v>2980</v>
      </c>
      <c r="D189" s="243" t="s">
        <v>1083</v>
      </c>
      <c r="E189" s="8">
        <v>1030000</v>
      </c>
      <c r="F189" s="174">
        <v>1030000</v>
      </c>
      <c r="G189" s="125">
        <f t="shared" si="6"/>
        <v>0</v>
      </c>
      <c r="H189" s="243"/>
    </row>
    <row r="190" spans="1:8" ht="19.5">
      <c r="A190" s="3">
        <f>IF(F190="","",COUNTA($F$179:F190))</f>
        <v>12</v>
      </c>
      <c r="B190" s="24" t="s">
        <v>1073</v>
      </c>
      <c r="C190" s="21" t="s">
        <v>2980</v>
      </c>
      <c r="D190" s="243"/>
      <c r="E190" s="8">
        <v>1150000</v>
      </c>
      <c r="F190" s="174">
        <v>1150000</v>
      </c>
      <c r="G190" s="125">
        <f t="shared" si="6"/>
        <v>0</v>
      </c>
      <c r="H190" s="243"/>
    </row>
    <row r="191" spans="1:8" ht="19.5">
      <c r="A191" s="3">
        <f>IF(F191="","",COUNTA($F$179:F191))</f>
        <v>13</v>
      </c>
      <c r="B191" s="24" t="s">
        <v>1074</v>
      </c>
      <c r="C191" s="21" t="s">
        <v>2980</v>
      </c>
      <c r="D191" s="243"/>
      <c r="E191" s="8">
        <v>1200000</v>
      </c>
      <c r="F191" s="174">
        <v>1200000</v>
      </c>
      <c r="G191" s="125">
        <f t="shared" si="6"/>
        <v>0</v>
      </c>
      <c r="H191" s="243"/>
    </row>
    <row r="192" spans="1:8" ht="19.5">
      <c r="A192" s="3">
        <f>IF(F192="","",COUNTA($F$179:F192))</f>
        <v>14</v>
      </c>
      <c r="B192" s="24" t="s">
        <v>1076</v>
      </c>
      <c r="C192" s="21" t="s">
        <v>2980</v>
      </c>
      <c r="D192" s="243"/>
      <c r="E192" s="8">
        <v>1260000</v>
      </c>
      <c r="F192" s="174">
        <v>1260000</v>
      </c>
      <c r="G192" s="125">
        <f t="shared" si="6"/>
        <v>0</v>
      </c>
      <c r="H192" s="243"/>
    </row>
    <row r="193" spans="1:8" ht="19.5">
      <c r="A193" s="3">
        <f>IF(F193="","",COUNTA($F$179:F193))</f>
        <v>15</v>
      </c>
      <c r="B193" s="24" t="s">
        <v>1077</v>
      </c>
      <c r="C193" s="21" t="s">
        <v>2980</v>
      </c>
      <c r="D193" s="243"/>
      <c r="E193" s="8">
        <v>1330000</v>
      </c>
      <c r="F193" s="174">
        <v>1330000</v>
      </c>
      <c r="G193" s="125">
        <f t="shared" si="6"/>
        <v>0</v>
      </c>
      <c r="H193" s="243"/>
    </row>
    <row r="194" spans="1:8" ht="19.5">
      <c r="A194" s="3">
        <f>IF(F194="","",COUNTA($F$179:F194))</f>
        <v>16</v>
      </c>
      <c r="B194" s="24" t="s">
        <v>1078</v>
      </c>
      <c r="C194" s="21" t="s">
        <v>2980</v>
      </c>
      <c r="D194" s="243"/>
      <c r="E194" s="8">
        <v>1400000</v>
      </c>
      <c r="F194" s="174">
        <v>1400000</v>
      </c>
      <c r="G194" s="125">
        <f t="shared" si="6"/>
        <v>0</v>
      </c>
      <c r="H194" s="243"/>
    </row>
    <row r="195" spans="1:8" ht="33">
      <c r="A195" s="3">
        <f>IF(F195="","",COUNTA($F$179:F195))</f>
        <v>17</v>
      </c>
      <c r="B195" s="25" t="s">
        <v>168</v>
      </c>
      <c r="C195" s="21" t="s">
        <v>2980</v>
      </c>
      <c r="E195" s="1">
        <v>1183636</v>
      </c>
      <c r="F195" s="176">
        <v>1183636</v>
      </c>
      <c r="G195" s="125">
        <f aca="true" t="shared" si="7" ref="G195:G212">(E195-F195)/E195</f>
        <v>0</v>
      </c>
      <c r="H195" s="243" t="s">
        <v>1089</v>
      </c>
    </row>
    <row r="196" spans="1:8" ht="33">
      <c r="A196" s="3">
        <f>IF(F196="","",COUNTA($F$179:F196))</f>
        <v>18</v>
      </c>
      <c r="B196" s="25" t="s">
        <v>1086</v>
      </c>
      <c r="C196" s="21" t="s">
        <v>2980</v>
      </c>
      <c r="E196" s="1">
        <v>1250000</v>
      </c>
      <c r="F196" s="176">
        <v>1250000</v>
      </c>
      <c r="G196" s="125">
        <f t="shared" si="7"/>
        <v>0</v>
      </c>
      <c r="H196" s="243"/>
    </row>
    <row r="197" spans="1:8" ht="33">
      <c r="A197" s="3">
        <f>IF(F197="","",COUNTA($F$179:F197))</f>
        <v>19</v>
      </c>
      <c r="B197" s="25" t="s">
        <v>1085</v>
      </c>
      <c r="C197" s="21" t="s">
        <v>2980</v>
      </c>
      <c r="E197" s="1">
        <v>1320000</v>
      </c>
      <c r="F197" s="176">
        <v>1320000</v>
      </c>
      <c r="G197" s="125">
        <f t="shared" si="7"/>
        <v>0</v>
      </c>
      <c r="H197" s="243"/>
    </row>
    <row r="198" spans="1:8" ht="33">
      <c r="A198" s="3">
        <f>IF(F198="","",COUNTA($F$179:F198))</f>
        <v>20</v>
      </c>
      <c r="B198" s="25" t="s">
        <v>1087</v>
      </c>
      <c r="C198" s="21" t="s">
        <v>2980</v>
      </c>
      <c r="E198" s="1">
        <v>1410000</v>
      </c>
      <c r="F198" s="176">
        <v>1410000</v>
      </c>
      <c r="G198" s="125">
        <f t="shared" si="7"/>
        <v>0</v>
      </c>
      <c r="H198" s="243"/>
    </row>
    <row r="199" spans="1:8" ht="33">
      <c r="A199" s="3">
        <f>IF(F199="","",COUNTA($F$179:F199))</f>
        <v>21</v>
      </c>
      <c r="B199" s="25" t="s">
        <v>1088</v>
      </c>
      <c r="C199" s="21" t="s">
        <v>2980</v>
      </c>
      <c r="E199" s="1">
        <v>1450000</v>
      </c>
      <c r="F199" s="176">
        <v>1450000</v>
      </c>
      <c r="G199" s="125">
        <f t="shared" si="7"/>
        <v>0</v>
      </c>
      <c r="H199" s="243"/>
    </row>
    <row r="200" spans="1:7" ht="16.5">
      <c r="A200" s="20" t="s">
        <v>2790</v>
      </c>
      <c r="B200" s="23" t="s">
        <v>2686</v>
      </c>
      <c r="G200" s="125"/>
    </row>
    <row r="201" spans="1:7" ht="16.5">
      <c r="A201" s="20" t="s">
        <v>3184</v>
      </c>
      <c r="B201" s="23" t="s">
        <v>2700</v>
      </c>
      <c r="G201" s="125"/>
    </row>
    <row r="202" spans="1:7" ht="17.25">
      <c r="A202" s="20"/>
      <c r="B202" s="35" t="s">
        <v>1117</v>
      </c>
      <c r="G202" s="125"/>
    </row>
    <row r="203" spans="1:8" ht="49.5">
      <c r="A203" s="3">
        <f>IF(F203="","",COUNTA($F$203:F203))</f>
        <v>1</v>
      </c>
      <c r="B203" s="25" t="s">
        <v>1131</v>
      </c>
      <c r="C203" s="21" t="s">
        <v>2981</v>
      </c>
      <c r="D203" s="43" t="s">
        <v>77</v>
      </c>
      <c r="E203" s="5">
        <v>320000</v>
      </c>
      <c r="F203" s="5">
        <v>320000</v>
      </c>
      <c r="G203" s="125">
        <f t="shared" si="7"/>
        <v>0</v>
      </c>
      <c r="H203" s="243" t="s">
        <v>39</v>
      </c>
    </row>
    <row r="204" spans="1:8" ht="49.5">
      <c r="A204" s="3">
        <f>IF(F204="","",COUNTA($F$203:F204))</f>
        <v>2</v>
      </c>
      <c r="B204" s="25" t="s">
        <v>1118</v>
      </c>
      <c r="C204" s="21" t="s">
        <v>2981</v>
      </c>
      <c r="D204" s="43" t="s">
        <v>77</v>
      </c>
      <c r="E204" s="5">
        <v>300000</v>
      </c>
      <c r="F204" s="5">
        <v>300000</v>
      </c>
      <c r="G204" s="125">
        <f t="shared" si="7"/>
        <v>0</v>
      </c>
      <c r="H204" s="243"/>
    </row>
    <row r="205" spans="1:8" ht="49.5">
      <c r="A205" s="3">
        <f>IF(F205="","",COUNTA($F$203:F205))</f>
        <v>3</v>
      </c>
      <c r="B205" s="25" t="s">
        <v>1132</v>
      </c>
      <c r="C205" s="21" t="s">
        <v>2981</v>
      </c>
      <c r="D205" s="43" t="s">
        <v>1125</v>
      </c>
      <c r="E205" s="5">
        <v>290000</v>
      </c>
      <c r="F205" s="5">
        <v>290000</v>
      </c>
      <c r="G205" s="125">
        <f t="shared" si="7"/>
        <v>0</v>
      </c>
      <c r="H205" s="243"/>
    </row>
    <row r="206" spans="1:8" ht="49.5">
      <c r="A206" s="3">
        <f>IF(F206="","",COUNTA($F$203:F206))</f>
        <v>4</v>
      </c>
      <c r="B206" s="25" t="s">
        <v>1119</v>
      </c>
      <c r="C206" s="21" t="s">
        <v>2981</v>
      </c>
      <c r="D206" s="43" t="s">
        <v>1125</v>
      </c>
      <c r="E206" s="5">
        <v>270000</v>
      </c>
      <c r="F206" s="5">
        <v>270000</v>
      </c>
      <c r="G206" s="125">
        <f t="shared" si="7"/>
        <v>0</v>
      </c>
      <c r="H206" s="243"/>
    </row>
    <row r="207" spans="1:8" ht="49.5">
      <c r="A207" s="3">
        <f>IF(F207="","",COUNTA($F$203:F207))</f>
        <v>5</v>
      </c>
      <c r="B207" s="25" t="s">
        <v>1120</v>
      </c>
      <c r="C207" s="21" t="s">
        <v>2981</v>
      </c>
      <c r="D207" s="43" t="s">
        <v>1126</v>
      </c>
      <c r="E207" s="5">
        <v>230000</v>
      </c>
      <c r="F207" s="5">
        <v>230000</v>
      </c>
      <c r="G207" s="125">
        <f t="shared" si="7"/>
        <v>0</v>
      </c>
      <c r="H207" s="243"/>
    </row>
    <row r="208" spans="1:8" ht="49.5">
      <c r="A208" s="3">
        <f>IF(F208="","",COUNTA($F$203:F208))</f>
        <v>6</v>
      </c>
      <c r="B208" s="25" t="s">
        <v>1133</v>
      </c>
      <c r="C208" s="21" t="s">
        <v>2981</v>
      </c>
      <c r="D208" s="43" t="s">
        <v>1127</v>
      </c>
      <c r="E208" s="5">
        <v>170000</v>
      </c>
      <c r="F208" s="5">
        <v>170000</v>
      </c>
      <c r="G208" s="125">
        <f t="shared" si="7"/>
        <v>0</v>
      </c>
      <c r="H208" s="243"/>
    </row>
    <row r="209" spans="1:8" ht="16.5">
      <c r="A209" s="3">
        <f>IF(F209="","",COUNTA($F$203:F209))</f>
        <v>7</v>
      </c>
      <c r="B209" s="24" t="s">
        <v>1121</v>
      </c>
      <c r="C209" s="21" t="s">
        <v>984</v>
      </c>
      <c r="D209" s="62" t="s">
        <v>1128</v>
      </c>
      <c r="E209" s="5">
        <v>14818</v>
      </c>
      <c r="F209" s="5">
        <v>14818</v>
      </c>
      <c r="G209" s="125">
        <f t="shared" si="7"/>
        <v>0</v>
      </c>
      <c r="H209" s="243"/>
    </row>
    <row r="210" spans="1:8" ht="16.5">
      <c r="A210" s="3">
        <f>IF(F210="","",COUNTA($F$203:F210))</f>
        <v>8</v>
      </c>
      <c r="B210" s="24" t="s">
        <v>1122</v>
      </c>
      <c r="C210" s="21" t="s">
        <v>984</v>
      </c>
      <c r="D210" s="62" t="s">
        <v>1129</v>
      </c>
      <c r="E210" s="5">
        <v>12091</v>
      </c>
      <c r="F210" s="5">
        <v>12091</v>
      </c>
      <c r="G210" s="125">
        <f t="shared" si="7"/>
        <v>0</v>
      </c>
      <c r="H210" s="243"/>
    </row>
    <row r="211" spans="1:8" ht="16.5">
      <c r="A211" s="3">
        <f>IF(F211="","",COUNTA($F$203:F211))</f>
        <v>9</v>
      </c>
      <c r="B211" s="24" t="s">
        <v>1123</v>
      </c>
      <c r="C211" s="21" t="s">
        <v>984</v>
      </c>
      <c r="D211" s="62" t="s">
        <v>1130</v>
      </c>
      <c r="E211" s="5">
        <v>16000</v>
      </c>
      <c r="F211" s="5">
        <v>16000</v>
      </c>
      <c r="G211" s="125">
        <f t="shared" si="7"/>
        <v>0</v>
      </c>
      <c r="H211" s="243"/>
    </row>
    <row r="212" spans="1:8" ht="16.5">
      <c r="A212" s="3">
        <f>IF(F212="","",COUNTA($F$203:F212))</f>
        <v>10</v>
      </c>
      <c r="B212" s="24" t="s">
        <v>1124</v>
      </c>
      <c r="C212" s="21" t="s">
        <v>984</v>
      </c>
      <c r="D212" s="62" t="s">
        <v>1129</v>
      </c>
      <c r="E212" s="5">
        <v>13000</v>
      </c>
      <c r="F212" s="5">
        <v>13000</v>
      </c>
      <c r="G212" s="125">
        <f t="shared" si="7"/>
        <v>0</v>
      </c>
      <c r="H212" s="243"/>
    </row>
    <row r="213" spans="1:8" ht="16.5">
      <c r="A213" s="3">
        <f>IF(F213="","",COUNTA($F$203:F213))</f>
      </c>
      <c r="B213" s="33" t="s">
        <v>1134</v>
      </c>
      <c r="C213" s="44"/>
      <c r="E213" s="71"/>
      <c r="F213" s="71"/>
      <c r="G213" s="125"/>
      <c r="H213" s="237" t="s">
        <v>341</v>
      </c>
    </row>
    <row r="214" spans="1:8" ht="49.5">
      <c r="A214" s="3">
        <f>IF(F214="","",COUNTA($F$203:F214))</f>
        <v>11</v>
      </c>
      <c r="B214" s="25" t="s">
        <v>344</v>
      </c>
      <c r="C214" s="21" t="s">
        <v>2981</v>
      </c>
      <c r="D214" s="43" t="s">
        <v>342</v>
      </c>
      <c r="E214" s="217">
        <v>436364</v>
      </c>
      <c r="F214" s="134">
        <v>436364</v>
      </c>
      <c r="G214" s="125">
        <f aca="true" t="shared" si="8" ref="G214:G246">(E214-F214)/E214</f>
        <v>0</v>
      </c>
      <c r="H214" s="238"/>
    </row>
    <row r="215" spans="1:8" ht="66">
      <c r="A215" s="3">
        <f>IF(F215="","",COUNTA($F$203:F215))</f>
        <v>12</v>
      </c>
      <c r="B215" s="25" t="s">
        <v>345</v>
      </c>
      <c r="C215" s="21" t="s">
        <v>2981</v>
      </c>
      <c r="D215" s="43" t="s">
        <v>343</v>
      </c>
      <c r="E215" s="217">
        <v>745455</v>
      </c>
      <c r="F215" s="134">
        <v>745455</v>
      </c>
      <c r="G215" s="125">
        <f t="shared" si="8"/>
        <v>0</v>
      </c>
      <c r="H215" s="238"/>
    </row>
    <row r="216" spans="1:8" ht="66">
      <c r="A216" s="3">
        <f>IF(F216="","",COUNTA($F$203:F216))</f>
        <v>13</v>
      </c>
      <c r="B216" s="25" t="s">
        <v>346</v>
      </c>
      <c r="C216" s="21" t="s">
        <v>2981</v>
      </c>
      <c r="D216" s="43" t="s">
        <v>343</v>
      </c>
      <c r="E216" s="217">
        <v>645455</v>
      </c>
      <c r="F216" s="134">
        <v>645455</v>
      </c>
      <c r="G216" s="125">
        <f t="shared" si="8"/>
        <v>0</v>
      </c>
      <c r="H216" s="238"/>
    </row>
    <row r="217" spans="1:8" ht="49.5">
      <c r="A217" s="3">
        <f>IF(F217="","",COUNTA($F$203:F217))</f>
        <v>14</v>
      </c>
      <c r="B217" s="25" t="s">
        <v>347</v>
      </c>
      <c r="C217" s="21" t="s">
        <v>2981</v>
      </c>
      <c r="D217" s="43" t="s">
        <v>343</v>
      </c>
      <c r="E217" s="217">
        <v>654545</v>
      </c>
      <c r="F217" s="134">
        <v>654545</v>
      </c>
      <c r="G217" s="125">
        <f t="shared" si="8"/>
        <v>0</v>
      </c>
      <c r="H217" s="238"/>
    </row>
    <row r="218" spans="1:8" ht="66">
      <c r="A218" s="3">
        <f>IF(F218="","",COUNTA($F$203:F218))</f>
        <v>15</v>
      </c>
      <c r="B218" s="25" t="s">
        <v>348</v>
      </c>
      <c r="C218" s="21" t="s">
        <v>2981</v>
      </c>
      <c r="D218" s="43" t="s">
        <v>343</v>
      </c>
      <c r="E218" s="217">
        <v>740909</v>
      </c>
      <c r="F218" s="134">
        <v>740909</v>
      </c>
      <c r="G218" s="125">
        <f t="shared" si="8"/>
        <v>0</v>
      </c>
      <c r="H218" s="238"/>
    </row>
    <row r="219" spans="1:8" ht="66">
      <c r="A219" s="3">
        <f>IF(F219="","",COUNTA($F$203:F219))</f>
        <v>16</v>
      </c>
      <c r="B219" s="25" t="s">
        <v>349</v>
      </c>
      <c r="C219" s="21" t="s">
        <v>2981</v>
      </c>
      <c r="D219" s="43" t="s">
        <v>343</v>
      </c>
      <c r="E219" s="217">
        <v>568182</v>
      </c>
      <c r="F219" s="134">
        <v>568182</v>
      </c>
      <c r="G219" s="125">
        <f t="shared" si="8"/>
        <v>0</v>
      </c>
      <c r="H219" s="238"/>
    </row>
    <row r="220" spans="1:8" ht="66">
      <c r="A220" s="3">
        <f>IF(F220="","",COUNTA($F$203:F220))</f>
        <v>17</v>
      </c>
      <c r="B220" s="25" t="s">
        <v>350</v>
      </c>
      <c r="C220" s="21" t="s">
        <v>2981</v>
      </c>
      <c r="D220" s="43" t="s">
        <v>343</v>
      </c>
      <c r="E220" s="217">
        <v>745455</v>
      </c>
      <c r="F220" s="134">
        <v>745455</v>
      </c>
      <c r="G220" s="125">
        <f t="shared" si="8"/>
        <v>0</v>
      </c>
      <c r="H220" s="238"/>
    </row>
    <row r="221" spans="1:8" ht="49.5">
      <c r="A221" s="3">
        <f>IF(F221="","",COUNTA($F$203:F221))</f>
        <v>18</v>
      </c>
      <c r="B221" s="25" t="s">
        <v>351</v>
      </c>
      <c r="C221" s="21" t="s">
        <v>2981</v>
      </c>
      <c r="D221" s="43" t="s">
        <v>343</v>
      </c>
      <c r="E221" s="217">
        <v>550000</v>
      </c>
      <c r="F221" s="134">
        <v>550000</v>
      </c>
      <c r="G221" s="125">
        <f t="shared" si="8"/>
        <v>0</v>
      </c>
      <c r="H221" s="238"/>
    </row>
    <row r="222" spans="1:8" ht="49.5">
      <c r="A222" s="3">
        <f>IF(F222="","",COUNTA($F$203:F222))</f>
        <v>19</v>
      </c>
      <c r="B222" s="25" t="s">
        <v>352</v>
      </c>
      <c r="C222" s="21" t="s">
        <v>2981</v>
      </c>
      <c r="D222" s="43" t="s">
        <v>343</v>
      </c>
      <c r="E222" s="217">
        <v>745455</v>
      </c>
      <c r="F222" s="134">
        <v>745455</v>
      </c>
      <c r="G222" s="125">
        <f t="shared" si="8"/>
        <v>0</v>
      </c>
      <c r="H222" s="238"/>
    </row>
    <row r="223" spans="1:8" ht="66">
      <c r="A223" s="3">
        <f>IF(F223="","",COUNTA($F$203:F223))</f>
        <v>20</v>
      </c>
      <c r="B223" s="25" t="s">
        <v>353</v>
      </c>
      <c r="C223" s="21" t="s">
        <v>2981</v>
      </c>
      <c r="D223" s="43" t="s">
        <v>343</v>
      </c>
      <c r="E223" s="217">
        <v>436364</v>
      </c>
      <c r="F223" s="134">
        <v>436364</v>
      </c>
      <c r="G223" s="125">
        <f t="shared" si="8"/>
        <v>0</v>
      </c>
      <c r="H223" s="238"/>
    </row>
    <row r="224" spans="1:8" ht="49.5">
      <c r="A224" s="3">
        <f>IF(F224="","",COUNTA($F$203:F224))</f>
        <v>21</v>
      </c>
      <c r="B224" s="25" t="s">
        <v>354</v>
      </c>
      <c r="C224" s="21" t="s">
        <v>2981</v>
      </c>
      <c r="D224" s="43" t="s">
        <v>343</v>
      </c>
      <c r="E224" s="217">
        <v>709091</v>
      </c>
      <c r="F224" s="134">
        <v>709091</v>
      </c>
      <c r="G224" s="125">
        <f t="shared" si="8"/>
        <v>0</v>
      </c>
      <c r="H224" s="238"/>
    </row>
    <row r="225" spans="1:8" ht="49.5">
      <c r="A225" s="3">
        <f>IF(F225="","",COUNTA($F$203:F225))</f>
        <v>22</v>
      </c>
      <c r="B225" s="25" t="s">
        <v>355</v>
      </c>
      <c r="C225" s="21" t="s">
        <v>2981</v>
      </c>
      <c r="D225" s="43" t="s">
        <v>343</v>
      </c>
      <c r="E225" s="217">
        <v>509091</v>
      </c>
      <c r="F225" s="134">
        <v>509091</v>
      </c>
      <c r="G225" s="125">
        <f t="shared" si="8"/>
        <v>0</v>
      </c>
      <c r="H225" s="238"/>
    </row>
    <row r="226" spans="1:8" ht="66">
      <c r="A226" s="3">
        <f>IF(F226="","",COUNTA($F$203:F226))</f>
        <v>23</v>
      </c>
      <c r="B226" s="25" t="s">
        <v>356</v>
      </c>
      <c r="C226" s="21" t="s">
        <v>2981</v>
      </c>
      <c r="D226" s="43" t="s">
        <v>343</v>
      </c>
      <c r="E226" s="217">
        <v>772727</v>
      </c>
      <c r="F226" s="134">
        <v>772727</v>
      </c>
      <c r="G226" s="125">
        <f t="shared" si="8"/>
        <v>0</v>
      </c>
      <c r="H226" s="238"/>
    </row>
    <row r="227" spans="1:8" ht="66">
      <c r="A227" s="3">
        <f>IF(F227="","",COUNTA($F$203:F227))</f>
        <v>24</v>
      </c>
      <c r="B227" s="25" t="s">
        <v>357</v>
      </c>
      <c r="C227" s="21" t="s">
        <v>2981</v>
      </c>
      <c r="D227" s="43" t="s">
        <v>343</v>
      </c>
      <c r="E227" s="217">
        <v>645455</v>
      </c>
      <c r="F227" s="134">
        <v>645455</v>
      </c>
      <c r="G227" s="125">
        <f t="shared" si="8"/>
        <v>0</v>
      </c>
      <c r="H227" s="238"/>
    </row>
    <row r="228" spans="1:8" ht="66">
      <c r="A228" s="3">
        <f>IF(F228="","",COUNTA($F$203:F228))</f>
        <v>25</v>
      </c>
      <c r="B228" s="25" t="s">
        <v>358</v>
      </c>
      <c r="C228" s="21" t="s">
        <v>2981</v>
      </c>
      <c r="D228" s="43" t="s">
        <v>343</v>
      </c>
      <c r="E228" s="217">
        <v>654545</v>
      </c>
      <c r="F228" s="134">
        <v>654545</v>
      </c>
      <c r="G228" s="125">
        <f t="shared" si="8"/>
        <v>0</v>
      </c>
      <c r="H228" s="238"/>
    </row>
    <row r="229" spans="1:8" ht="66">
      <c r="A229" s="3">
        <f>IF(F229="","",COUNTA($F$203:F229))</f>
        <v>26</v>
      </c>
      <c r="B229" s="25" t="s">
        <v>359</v>
      </c>
      <c r="C229" s="21" t="s">
        <v>2981</v>
      </c>
      <c r="D229" s="43" t="s">
        <v>343</v>
      </c>
      <c r="E229" s="217">
        <v>563636</v>
      </c>
      <c r="F229" s="134">
        <v>563636</v>
      </c>
      <c r="G229" s="125">
        <f t="shared" si="8"/>
        <v>0</v>
      </c>
      <c r="H229" s="238"/>
    </row>
    <row r="230" spans="1:8" ht="49.5">
      <c r="A230" s="3">
        <f>IF(F230="","",COUNTA($F$203:F230))</f>
        <v>27</v>
      </c>
      <c r="B230" s="25" t="s">
        <v>360</v>
      </c>
      <c r="C230" s="21" t="s">
        <v>2981</v>
      </c>
      <c r="D230" s="43" t="s">
        <v>343</v>
      </c>
      <c r="E230" s="217">
        <v>445455</v>
      </c>
      <c r="F230" s="134">
        <v>445455</v>
      </c>
      <c r="G230" s="125">
        <f t="shared" si="8"/>
        <v>0</v>
      </c>
      <c r="H230" s="238"/>
    </row>
    <row r="231" spans="1:8" ht="16.5">
      <c r="A231" s="3">
        <f>IF(F231="","",COUNTA($F$203:F231))</f>
      </c>
      <c r="B231" s="23" t="s">
        <v>2699</v>
      </c>
      <c r="E231" s="217"/>
      <c r="F231" s="134"/>
      <c r="G231" s="125"/>
      <c r="H231" s="238"/>
    </row>
    <row r="232" spans="1:8" ht="49.5">
      <c r="A232" s="3">
        <f>IF(F232="","",COUNTA($F$203:F232))</f>
        <v>28</v>
      </c>
      <c r="B232" s="25" t="s">
        <v>361</v>
      </c>
      <c r="C232" s="21" t="s">
        <v>2981</v>
      </c>
      <c r="D232" s="62" t="s">
        <v>338</v>
      </c>
      <c r="E232" s="217">
        <v>872727</v>
      </c>
      <c r="F232" s="134">
        <v>872727</v>
      </c>
      <c r="G232" s="125">
        <f t="shared" si="8"/>
        <v>0</v>
      </c>
      <c r="H232" s="238"/>
    </row>
    <row r="233" spans="1:8" ht="49.5">
      <c r="A233" s="3">
        <f>IF(F233="","",COUNTA($F$203:F233))</f>
        <v>29</v>
      </c>
      <c r="B233" s="25" t="s">
        <v>362</v>
      </c>
      <c r="C233" s="21" t="s">
        <v>2981</v>
      </c>
      <c r="D233" s="62" t="s">
        <v>338</v>
      </c>
      <c r="E233" s="217">
        <v>827273</v>
      </c>
      <c r="F233" s="134">
        <v>827273</v>
      </c>
      <c r="G233" s="125">
        <f t="shared" si="8"/>
        <v>0</v>
      </c>
      <c r="H233" s="238"/>
    </row>
    <row r="234" spans="1:8" ht="66">
      <c r="A234" s="3">
        <f>IF(F234="","",COUNTA($F$203:F234))</f>
        <v>30</v>
      </c>
      <c r="B234" s="25" t="s">
        <v>363</v>
      </c>
      <c r="C234" s="21" t="s">
        <v>2981</v>
      </c>
      <c r="D234" s="62" t="s">
        <v>339</v>
      </c>
      <c r="E234" s="217">
        <v>781818</v>
      </c>
      <c r="F234" s="134">
        <v>781818</v>
      </c>
      <c r="G234" s="125">
        <f t="shared" si="8"/>
        <v>0</v>
      </c>
      <c r="H234" s="238"/>
    </row>
    <row r="235" spans="1:8" ht="49.5">
      <c r="A235" s="3">
        <f>IF(F235="","",COUNTA($F$203:F235))</f>
        <v>31</v>
      </c>
      <c r="B235" s="25" t="s">
        <v>364</v>
      </c>
      <c r="C235" s="21" t="s">
        <v>2981</v>
      </c>
      <c r="D235" s="62" t="s">
        <v>340</v>
      </c>
      <c r="E235" s="217">
        <v>736364</v>
      </c>
      <c r="F235" s="134">
        <v>736364</v>
      </c>
      <c r="G235" s="125">
        <f t="shared" si="8"/>
        <v>0</v>
      </c>
      <c r="H235" s="238"/>
    </row>
    <row r="236" spans="1:8" ht="49.5">
      <c r="A236" s="3">
        <f>IF(F236="","",COUNTA($F$203:F236))</f>
        <v>32</v>
      </c>
      <c r="B236" s="25" t="s">
        <v>365</v>
      </c>
      <c r="C236" s="21" t="s">
        <v>2981</v>
      </c>
      <c r="D236" s="62" t="s">
        <v>340</v>
      </c>
      <c r="E236" s="217">
        <v>781818</v>
      </c>
      <c r="F236" s="134">
        <v>781818</v>
      </c>
      <c r="G236" s="125">
        <f t="shared" si="8"/>
        <v>0</v>
      </c>
      <c r="H236" s="239"/>
    </row>
    <row r="237" spans="1:7" ht="16.5">
      <c r="A237" s="20" t="s">
        <v>3185</v>
      </c>
      <c r="B237" s="23" t="s">
        <v>2699</v>
      </c>
      <c r="G237" s="125"/>
    </row>
    <row r="238" spans="1:8" ht="19.5" customHeight="1">
      <c r="A238" s="3">
        <f>IF(F238="","",COUNTA($F$238:F238))</f>
        <v>1</v>
      </c>
      <c r="B238" s="24" t="s">
        <v>2697</v>
      </c>
      <c r="C238" s="21" t="s">
        <v>2981</v>
      </c>
      <c r="E238" s="5">
        <v>72727</v>
      </c>
      <c r="F238" s="5">
        <v>72727</v>
      </c>
      <c r="G238" s="125">
        <f t="shared" si="8"/>
        <v>0</v>
      </c>
      <c r="H238" s="237" t="s">
        <v>173</v>
      </c>
    </row>
    <row r="239" spans="1:8" ht="19.5">
      <c r="A239" s="3">
        <f>IF(F239="","",COUNTA($F$238:F239))</f>
        <v>2</v>
      </c>
      <c r="B239" s="24" t="s">
        <v>2698</v>
      </c>
      <c r="C239" s="21" t="s">
        <v>2981</v>
      </c>
      <c r="E239" s="5">
        <v>74545</v>
      </c>
      <c r="F239" s="5">
        <v>74545</v>
      </c>
      <c r="G239" s="125">
        <f t="shared" si="8"/>
        <v>0</v>
      </c>
      <c r="H239" s="238"/>
    </row>
    <row r="240" spans="1:8" ht="19.5">
      <c r="A240" s="3">
        <f>IF(F240="","",COUNTA($F$238:F240))</f>
        <v>3</v>
      </c>
      <c r="B240" s="24" t="s">
        <v>2687</v>
      </c>
      <c r="C240" s="21" t="s">
        <v>2981</v>
      </c>
      <c r="E240" s="5">
        <v>72727</v>
      </c>
      <c r="F240" s="5">
        <v>72727</v>
      </c>
      <c r="G240" s="125">
        <f t="shared" si="8"/>
        <v>0</v>
      </c>
      <c r="H240" s="238"/>
    </row>
    <row r="241" spans="1:8" ht="19.5">
      <c r="A241" s="3">
        <f>IF(F241="","",COUNTA($F$238:F241))</f>
        <v>4</v>
      </c>
      <c r="B241" s="24" t="s">
        <v>2688</v>
      </c>
      <c r="C241" s="21" t="s">
        <v>2981</v>
      </c>
      <c r="E241" s="5">
        <v>74545</v>
      </c>
      <c r="F241" s="5">
        <v>74545</v>
      </c>
      <c r="G241" s="125">
        <f t="shared" si="8"/>
        <v>0</v>
      </c>
      <c r="H241" s="238"/>
    </row>
    <row r="242" spans="1:8" ht="19.5">
      <c r="A242" s="3">
        <f>IF(F242="","",COUNTA($F$238:F242))</f>
        <v>5</v>
      </c>
      <c r="B242" s="24" t="s">
        <v>2689</v>
      </c>
      <c r="C242" s="21" t="s">
        <v>2981</v>
      </c>
      <c r="E242" s="5">
        <v>72727</v>
      </c>
      <c r="F242" s="5">
        <v>72727</v>
      </c>
      <c r="G242" s="125">
        <f t="shared" si="8"/>
        <v>0</v>
      </c>
      <c r="H242" s="238"/>
    </row>
    <row r="243" spans="1:8" ht="19.5">
      <c r="A243" s="3">
        <f>IF(F243="","",COUNTA($F$238:F243))</f>
        <v>6</v>
      </c>
      <c r="B243" s="24" t="s">
        <v>2690</v>
      </c>
      <c r="C243" s="21" t="s">
        <v>2981</v>
      </c>
      <c r="E243" s="5">
        <v>74545</v>
      </c>
      <c r="F243" s="5">
        <v>74545</v>
      </c>
      <c r="G243" s="125">
        <f t="shared" si="8"/>
        <v>0</v>
      </c>
      <c r="H243" s="239"/>
    </row>
    <row r="244" spans="1:8" ht="19.5" customHeight="1">
      <c r="A244" s="3">
        <f>IF(F244="","",COUNTA($F$238:F244))</f>
        <v>7</v>
      </c>
      <c r="B244" s="24" t="s">
        <v>2691</v>
      </c>
      <c r="C244" s="21" t="s">
        <v>2981</v>
      </c>
      <c r="E244" s="5">
        <v>75455</v>
      </c>
      <c r="F244" s="5">
        <v>75455</v>
      </c>
      <c r="G244" s="125">
        <f t="shared" si="8"/>
        <v>0</v>
      </c>
      <c r="H244" s="237" t="s">
        <v>174</v>
      </c>
    </row>
    <row r="245" spans="1:8" ht="19.5">
      <c r="A245" s="3">
        <f>IF(F245="","",COUNTA($F$238:F245))</f>
        <v>8</v>
      </c>
      <c r="B245" s="24" t="s">
        <v>2692</v>
      </c>
      <c r="C245" s="21" t="s">
        <v>2981</v>
      </c>
      <c r="E245" s="5">
        <v>77273</v>
      </c>
      <c r="F245" s="5">
        <v>77273</v>
      </c>
      <c r="G245" s="125">
        <f t="shared" si="8"/>
        <v>0</v>
      </c>
      <c r="H245" s="238"/>
    </row>
    <row r="246" spans="1:8" ht="19.5">
      <c r="A246" s="3">
        <f>IF(F246="","",COUNTA($F$238:F246))</f>
        <v>9</v>
      </c>
      <c r="B246" s="24" t="s">
        <v>2693</v>
      </c>
      <c r="C246" s="21" t="s">
        <v>2981</v>
      </c>
      <c r="E246" s="5">
        <v>75455</v>
      </c>
      <c r="F246" s="5">
        <v>75455</v>
      </c>
      <c r="G246" s="125">
        <f t="shared" si="8"/>
        <v>0</v>
      </c>
      <c r="H246" s="238"/>
    </row>
    <row r="247" spans="1:8" ht="19.5">
      <c r="A247" s="3">
        <f>IF(F247="","",COUNTA($F$238:F247))</f>
        <v>10</v>
      </c>
      <c r="B247" s="24" t="s">
        <v>2694</v>
      </c>
      <c r="C247" s="21" t="s">
        <v>2981</v>
      </c>
      <c r="E247" s="5">
        <v>77273</v>
      </c>
      <c r="F247" s="5">
        <v>77273</v>
      </c>
      <c r="G247" s="125">
        <f aca="true" t="shared" si="9" ref="G247:G319">(E247-F247)/E247</f>
        <v>0</v>
      </c>
      <c r="H247" s="238"/>
    </row>
    <row r="248" spans="1:8" ht="19.5">
      <c r="A248" s="3">
        <f>IF(F248="","",COUNTA($F$238:F248))</f>
        <v>11</v>
      </c>
      <c r="B248" s="24" t="s">
        <v>2695</v>
      </c>
      <c r="C248" s="21" t="s">
        <v>2981</v>
      </c>
      <c r="D248" s="62" t="s">
        <v>78</v>
      </c>
      <c r="E248" s="5">
        <v>75455</v>
      </c>
      <c r="F248" s="5">
        <v>75455</v>
      </c>
      <c r="G248" s="125">
        <f t="shared" si="9"/>
        <v>0</v>
      </c>
      <c r="H248" s="238"/>
    </row>
    <row r="249" spans="1:8" ht="19.5">
      <c r="A249" s="3">
        <f>IF(F249="","",COUNTA($F$238:F249))</f>
        <v>12</v>
      </c>
      <c r="B249" s="24" t="s">
        <v>2696</v>
      </c>
      <c r="C249" s="21" t="s">
        <v>2981</v>
      </c>
      <c r="D249" s="62" t="s">
        <v>78</v>
      </c>
      <c r="E249" s="5">
        <v>77273</v>
      </c>
      <c r="F249" s="5">
        <v>77273</v>
      </c>
      <c r="G249" s="125">
        <f t="shared" si="9"/>
        <v>0</v>
      </c>
      <c r="H249" s="238"/>
    </row>
    <row r="250" spans="1:8" ht="16.5">
      <c r="A250" s="3">
        <f>IF(F250="","",COUNTA($F$238:F250))</f>
      </c>
      <c r="B250" s="79" t="s">
        <v>791</v>
      </c>
      <c r="E250" s="5"/>
      <c r="F250" s="5"/>
      <c r="G250" s="125"/>
      <c r="H250" s="238"/>
    </row>
    <row r="251" spans="1:8" ht="19.5" customHeight="1">
      <c r="A251" s="3">
        <f>IF(F251="","",COUNTA($F$238:F251))</f>
        <v>13</v>
      </c>
      <c r="B251" s="24" t="s">
        <v>2774</v>
      </c>
      <c r="C251" s="21" t="s">
        <v>2981</v>
      </c>
      <c r="D251" s="62" t="s">
        <v>79</v>
      </c>
      <c r="E251" s="5">
        <v>254454</v>
      </c>
      <c r="F251" s="5">
        <v>254454</v>
      </c>
      <c r="G251" s="125">
        <f t="shared" si="9"/>
        <v>0</v>
      </c>
      <c r="H251" s="238"/>
    </row>
    <row r="252" spans="1:8" ht="19.5" customHeight="1">
      <c r="A252" s="3">
        <f>IF(F252="","",COUNTA($F$238:F252))</f>
        <v>14</v>
      </c>
      <c r="B252" s="24" t="s">
        <v>2774</v>
      </c>
      <c r="C252" s="21" t="s">
        <v>2981</v>
      </c>
      <c r="D252" s="62" t="s">
        <v>80</v>
      </c>
      <c r="E252" s="5">
        <v>227272</v>
      </c>
      <c r="F252" s="5">
        <v>227272</v>
      </c>
      <c r="G252" s="125">
        <f t="shared" si="9"/>
        <v>0</v>
      </c>
      <c r="H252" s="238"/>
    </row>
    <row r="253" spans="1:8" ht="19.5">
      <c r="A253" s="3">
        <f>IF(F253="","",COUNTA($F$238:F253))</f>
        <v>15</v>
      </c>
      <c r="B253" s="24" t="s">
        <v>2775</v>
      </c>
      <c r="C253" s="21" t="s">
        <v>2981</v>
      </c>
      <c r="D253" s="62" t="s">
        <v>81</v>
      </c>
      <c r="E253" s="5">
        <v>254545</v>
      </c>
      <c r="F253" s="5">
        <v>254545</v>
      </c>
      <c r="G253" s="125">
        <f t="shared" si="9"/>
        <v>0</v>
      </c>
      <c r="H253" s="238"/>
    </row>
    <row r="254" spans="1:8" ht="19.5">
      <c r="A254" s="3">
        <f>IF(F254="","",COUNTA($F$238:F254))</f>
        <v>16</v>
      </c>
      <c r="B254" s="24" t="s">
        <v>2776</v>
      </c>
      <c r="C254" s="21" t="s">
        <v>2981</v>
      </c>
      <c r="D254" s="62" t="s">
        <v>81</v>
      </c>
      <c r="E254" s="5">
        <v>254545</v>
      </c>
      <c r="F254" s="5">
        <v>254545</v>
      </c>
      <c r="G254" s="125">
        <f t="shared" si="9"/>
        <v>0</v>
      </c>
      <c r="H254" s="238"/>
    </row>
    <row r="255" spans="1:8" ht="19.5">
      <c r="A255" s="3">
        <f>IF(F255="","",COUNTA($F$238:F255))</f>
        <v>17</v>
      </c>
      <c r="B255" s="24" t="s">
        <v>2777</v>
      </c>
      <c r="C255" s="21" t="s">
        <v>2981</v>
      </c>
      <c r="D255" s="62" t="s">
        <v>82</v>
      </c>
      <c r="E255" s="5">
        <v>254545</v>
      </c>
      <c r="F255" s="5">
        <v>254545</v>
      </c>
      <c r="G255" s="125">
        <f t="shared" si="9"/>
        <v>0</v>
      </c>
      <c r="H255" s="238"/>
    </row>
    <row r="256" spans="1:8" ht="19.5">
      <c r="A256" s="3">
        <f>IF(F256="","",COUNTA($F$238:F256))</f>
        <v>18</v>
      </c>
      <c r="B256" s="24" t="s">
        <v>2778</v>
      </c>
      <c r="C256" s="21" t="s">
        <v>2981</v>
      </c>
      <c r="D256" s="62" t="s">
        <v>82</v>
      </c>
      <c r="E256" s="5">
        <v>254545</v>
      </c>
      <c r="F256" s="5">
        <v>254545</v>
      </c>
      <c r="G256" s="125">
        <f t="shared" si="9"/>
        <v>0</v>
      </c>
      <c r="H256" s="238"/>
    </row>
    <row r="257" spans="1:8" ht="16.5">
      <c r="A257" s="3">
        <f>IF(F257="","",COUNTA($F$238:F257))</f>
      </c>
      <c r="B257" s="79" t="s">
        <v>792</v>
      </c>
      <c r="E257" s="5"/>
      <c r="F257" s="5"/>
      <c r="G257" s="125"/>
      <c r="H257" s="238"/>
    </row>
    <row r="258" spans="1:8" ht="19.5">
      <c r="A258" s="3">
        <f>IF(F258="","",COUNTA($F$238:F258))</f>
        <v>19</v>
      </c>
      <c r="B258" s="24" t="s">
        <v>2779</v>
      </c>
      <c r="C258" s="21" t="s">
        <v>2981</v>
      </c>
      <c r="D258" s="62" t="s">
        <v>2769</v>
      </c>
      <c r="E258" s="5">
        <v>218181</v>
      </c>
      <c r="F258" s="5">
        <v>218181</v>
      </c>
      <c r="G258" s="125">
        <f t="shared" si="9"/>
        <v>0</v>
      </c>
      <c r="H258" s="238"/>
    </row>
    <row r="259" spans="1:8" ht="19.5">
      <c r="A259" s="3">
        <f>IF(F259="","",COUNTA($F$238:F259))</f>
        <v>20</v>
      </c>
      <c r="B259" s="24" t="s">
        <v>2780</v>
      </c>
      <c r="C259" s="21" t="s">
        <v>2981</v>
      </c>
      <c r="D259" s="62" t="s">
        <v>2769</v>
      </c>
      <c r="E259" s="5">
        <v>227272</v>
      </c>
      <c r="F259" s="5">
        <v>227272</v>
      </c>
      <c r="G259" s="125">
        <f t="shared" si="9"/>
        <v>0</v>
      </c>
      <c r="H259" s="238"/>
    </row>
    <row r="260" spans="1:8" ht="19.5">
      <c r="A260" s="3">
        <f>IF(F260="","",COUNTA($F$238:F260))</f>
        <v>21</v>
      </c>
      <c r="B260" s="24" t="s">
        <v>2781</v>
      </c>
      <c r="C260" s="21" t="s">
        <v>2981</v>
      </c>
      <c r="D260" s="62" t="s">
        <v>2769</v>
      </c>
      <c r="E260" s="5">
        <v>227272</v>
      </c>
      <c r="F260" s="5">
        <v>227272</v>
      </c>
      <c r="G260" s="125">
        <f t="shared" si="9"/>
        <v>0</v>
      </c>
      <c r="H260" s="238"/>
    </row>
    <row r="261" spans="1:8" ht="19.5">
      <c r="A261" s="3">
        <f>IF(F261="","",COUNTA($F$238:F261))</f>
        <v>22</v>
      </c>
      <c r="B261" s="24" t="s">
        <v>2782</v>
      </c>
      <c r="C261" s="21" t="s">
        <v>2981</v>
      </c>
      <c r="D261" s="62" t="s">
        <v>2769</v>
      </c>
      <c r="E261" s="5">
        <v>227272</v>
      </c>
      <c r="F261" s="5">
        <v>227272</v>
      </c>
      <c r="G261" s="125">
        <f t="shared" si="9"/>
        <v>0</v>
      </c>
      <c r="H261" s="238"/>
    </row>
    <row r="262" spans="1:8" ht="16.5">
      <c r="A262" s="3">
        <f>IF(F262="","",COUNTA($F$238:F262))</f>
      </c>
      <c r="B262" s="79" t="s">
        <v>793</v>
      </c>
      <c r="E262" s="5"/>
      <c r="F262" s="5"/>
      <c r="G262" s="125"/>
      <c r="H262" s="238"/>
    </row>
    <row r="263" spans="1:8" ht="16.5">
      <c r="A263" s="3">
        <f>IF(F263="","",COUNTA($F$238:F263))</f>
        <v>23</v>
      </c>
      <c r="B263" s="24" t="s">
        <v>2783</v>
      </c>
      <c r="C263" s="21" t="s">
        <v>2784</v>
      </c>
      <c r="D263" s="62" t="s">
        <v>175</v>
      </c>
      <c r="E263" s="85">
        <v>183363</v>
      </c>
      <c r="F263" s="85">
        <v>183363</v>
      </c>
      <c r="G263" s="125">
        <f t="shared" si="9"/>
        <v>0</v>
      </c>
      <c r="H263" s="238"/>
    </row>
    <row r="264" spans="1:8" ht="16.5">
      <c r="A264" s="3">
        <f>IF(F264="","",COUNTA($F$238:F264))</f>
        <v>24</v>
      </c>
      <c r="B264" s="24" t="s">
        <v>2783</v>
      </c>
      <c r="C264" s="21" t="s">
        <v>1116</v>
      </c>
      <c r="D264" s="62" t="s">
        <v>734</v>
      </c>
      <c r="E264" s="85">
        <v>177272</v>
      </c>
      <c r="F264" s="85">
        <v>177272</v>
      </c>
      <c r="G264" s="125">
        <f t="shared" si="9"/>
        <v>0</v>
      </c>
      <c r="H264" s="238"/>
    </row>
    <row r="265" spans="1:8" ht="16.5">
      <c r="A265" s="3">
        <f>IF(F265="","",COUNTA($F$238:F265))</f>
        <v>25</v>
      </c>
      <c r="B265" s="24" t="s">
        <v>2783</v>
      </c>
      <c r="C265" s="21" t="s">
        <v>1116</v>
      </c>
      <c r="D265" s="62" t="s">
        <v>733</v>
      </c>
      <c r="E265" s="85">
        <v>172727</v>
      </c>
      <c r="F265" s="85">
        <v>172727</v>
      </c>
      <c r="G265" s="125">
        <f t="shared" si="9"/>
        <v>0</v>
      </c>
      <c r="H265" s="238"/>
    </row>
    <row r="266" spans="1:8" ht="16.5">
      <c r="A266" s="3">
        <f>IF(F266="","",COUNTA($F$238:F266))</f>
        <v>26</v>
      </c>
      <c r="B266" s="24" t="s">
        <v>2783</v>
      </c>
      <c r="C266" s="21" t="s">
        <v>1116</v>
      </c>
      <c r="D266" s="62" t="s">
        <v>732</v>
      </c>
      <c r="E266" s="85">
        <v>95454</v>
      </c>
      <c r="F266" s="85">
        <v>95454</v>
      </c>
      <c r="G266" s="125">
        <f t="shared" si="9"/>
        <v>0</v>
      </c>
      <c r="H266" s="238"/>
    </row>
    <row r="267" spans="1:8" ht="16.5">
      <c r="A267" s="3">
        <f>IF(F267="","",COUNTA($F$238:F267))</f>
        <v>27</v>
      </c>
      <c r="B267" s="24" t="s">
        <v>2783</v>
      </c>
      <c r="C267" s="21" t="s">
        <v>1116</v>
      </c>
      <c r="D267" s="62" t="s">
        <v>731</v>
      </c>
      <c r="E267" s="85">
        <v>68181</v>
      </c>
      <c r="F267" s="85">
        <v>68181</v>
      </c>
      <c r="G267" s="125">
        <f t="shared" si="9"/>
        <v>0</v>
      </c>
      <c r="H267" s="238"/>
    </row>
    <row r="268" spans="1:8" ht="16.5">
      <c r="A268" s="3">
        <f>IF(F268="","",COUNTA($F$238:F268))</f>
        <v>28</v>
      </c>
      <c r="B268" s="24" t="s">
        <v>2783</v>
      </c>
      <c r="C268" s="21" t="s">
        <v>1116</v>
      </c>
      <c r="D268" s="62" t="s">
        <v>2274</v>
      </c>
      <c r="E268" s="85">
        <v>181818</v>
      </c>
      <c r="F268" s="85">
        <v>181818</v>
      </c>
      <c r="G268" s="125">
        <f t="shared" si="9"/>
        <v>0</v>
      </c>
      <c r="H268" s="238"/>
    </row>
    <row r="269" spans="1:8" ht="16.5">
      <c r="A269" s="3">
        <f>IF(F269="","",COUNTA($F$238:F269))</f>
        <v>29</v>
      </c>
      <c r="B269" s="24" t="s">
        <v>2783</v>
      </c>
      <c r="C269" s="21" t="s">
        <v>1116</v>
      </c>
      <c r="D269" s="62" t="s">
        <v>2275</v>
      </c>
      <c r="E269" s="85">
        <v>98181</v>
      </c>
      <c r="F269" s="85">
        <v>98181</v>
      </c>
      <c r="G269" s="125">
        <f t="shared" si="9"/>
        <v>0</v>
      </c>
      <c r="H269" s="238"/>
    </row>
    <row r="270" spans="1:8" ht="16.5">
      <c r="A270" s="3">
        <f>IF(F270="","",COUNTA($F$238:F270))</f>
        <v>30</v>
      </c>
      <c r="B270" s="24" t="s">
        <v>2783</v>
      </c>
      <c r="C270" s="21" t="s">
        <v>1116</v>
      </c>
      <c r="D270" s="62" t="s">
        <v>2276</v>
      </c>
      <c r="E270" s="85">
        <v>70000</v>
      </c>
      <c r="F270" s="85">
        <v>70000</v>
      </c>
      <c r="G270" s="125">
        <f t="shared" si="9"/>
        <v>0</v>
      </c>
      <c r="H270" s="239"/>
    </row>
    <row r="271" spans="1:8" ht="17.25" customHeight="1">
      <c r="A271" s="3">
        <f>IF(F271="","",COUNTA($F$238:F271))</f>
      </c>
      <c r="B271" s="26" t="s">
        <v>2701</v>
      </c>
      <c r="C271" s="44"/>
      <c r="E271" s="8"/>
      <c r="F271" s="8"/>
      <c r="G271" s="125"/>
      <c r="H271" s="240" t="s">
        <v>8</v>
      </c>
    </row>
    <row r="272" spans="1:8" ht="16.5">
      <c r="A272" s="3">
        <f>IF(F272="","",COUNTA($F$238:F272))</f>
        <v>31</v>
      </c>
      <c r="B272" s="28" t="s">
        <v>2321</v>
      </c>
      <c r="C272" s="44" t="s">
        <v>2702</v>
      </c>
      <c r="D272" s="62" t="s">
        <v>86</v>
      </c>
      <c r="E272" s="8">
        <v>130000</v>
      </c>
      <c r="F272" s="174">
        <v>130000</v>
      </c>
      <c r="G272" s="125">
        <f t="shared" si="9"/>
        <v>0</v>
      </c>
      <c r="H272" s="241"/>
    </row>
    <row r="273" spans="1:8" ht="16.5">
      <c r="A273" s="3">
        <f>IF(F273="","",COUNTA($F$238:F273))</f>
        <v>32</v>
      </c>
      <c r="B273" s="28" t="s">
        <v>2322</v>
      </c>
      <c r="C273" s="44" t="s">
        <v>2702</v>
      </c>
      <c r="D273" s="62" t="s">
        <v>86</v>
      </c>
      <c r="E273" s="8">
        <v>120000</v>
      </c>
      <c r="F273" s="174">
        <v>120000</v>
      </c>
      <c r="G273" s="125">
        <f t="shared" si="9"/>
        <v>0</v>
      </c>
      <c r="H273" s="241"/>
    </row>
    <row r="274" spans="1:8" ht="16.5">
      <c r="A274" s="3">
        <f>IF(F274="","",COUNTA($F$238:F274))</f>
        <v>33</v>
      </c>
      <c r="B274" s="28" t="s">
        <v>2323</v>
      </c>
      <c r="C274" s="44" t="s">
        <v>2702</v>
      </c>
      <c r="D274" s="62" t="s">
        <v>85</v>
      </c>
      <c r="E274" s="8">
        <v>140000</v>
      </c>
      <c r="F274" s="174">
        <v>140000</v>
      </c>
      <c r="G274" s="125">
        <f t="shared" si="9"/>
        <v>0</v>
      </c>
      <c r="H274" s="241"/>
    </row>
    <row r="275" spans="1:8" ht="16.5">
      <c r="A275" s="3">
        <f>IF(F275="","",COUNTA($F$238:F275))</f>
        <v>34</v>
      </c>
      <c r="B275" s="28" t="s">
        <v>2324</v>
      </c>
      <c r="C275" s="44" t="s">
        <v>2702</v>
      </c>
      <c r="D275" s="62" t="s">
        <v>85</v>
      </c>
      <c r="E275" s="8">
        <v>165000</v>
      </c>
      <c r="F275" s="174">
        <v>165000</v>
      </c>
      <c r="G275" s="125">
        <f t="shared" si="9"/>
        <v>0</v>
      </c>
      <c r="H275" s="241"/>
    </row>
    <row r="276" spans="1:8" ht="16.5">
      <c r="A276" s="3">
        <f>IF(F276="","",COUNTA($F$238:F276))</f>
        <v>35</v>
      </c>
      <c r="B276" s="28" t="s">
        <v>2325</v>
      </c>
      <c r="C276" s="44" t="s">
        <v>2702</v>
      </c>
      <c r="D276" s="62" t="s">
        <v>2326</v>
      </c>
      <c r="E276" s="8">
        <v>110000</v>
      </c>
      <c r="F276" s="174">
        <v>110000</v>
      </c>
      <c r="G276" s="125">
        <f t="shared" si="9"/>
        <v>0</v>
      </c>
      <c r="H276" s="241"/>
    </row>
    <row r="277" spans="1:8" ht="16.5">
      <c r="A277" s="3">
        <f>IF(F277="","",COUNTA($F$238:F277))</f>
        <v>36</v>
      </c>
      <c r="B277" s="28" t="s">
        <v>2327</v>
      </c>
      <c r="C277" s="44" t="s">
        <v>2702</v>
      </c>
      <c r="D277" s="62" t="s">
        <v>2326</v>
      </c>
      <c r="E277" s="8">
        <v>100000</v>
      </c>
      <c r="F277" s="174">
        <v>100000</v>
      </c>
      <c r="G277" s="125">
        <f t="shared" si="9"/>
        <v>0</v>
      </c>
      <c r="H277" s="241"/>
    </row>
    <row r="278" spans="1:8" ht="16.5">
      <c r="A278" s="3">
        <f>IF(F278="","",COUNTA($F$238:F278))</f>
        <v>37</v>
      </c>
      <c r="B278" s="28" t="s">
        <v>2328</v>
      </c>
      <c r="C278" s="44" t="s">
        <v>2702</v>
      </c>
      <c r="D278" s="62" t="s">
        <v>2326</v>
      </c>
      <c r="E278" s="8">
        <v>95000</v>
      </c>
      <c r="F278" s="174">
        <v>95000</v>
      </c>
      <c r="G278" s="125">
        <f t="shared" si="9"/>
        <v>0</v>
      </c>
      <c r="H278" s="241"/>
    </row>
    <row r="279" spans="1:8" ht="16.5">
      <c r="A279" s="3">
        <f>IF(F279="","",COUNTA($F$238:F279))</f>
        <v>38</v>
      </c>
      <c r="B279" s="28" t="s">
        <v>2329</v>
      </c>
      <c r="C279" s="44" t="s">
        <v>2702</v>
      </c>
      <c r="D279" s="62" t="s">
        <v>83</v>
      </c>
      <c r="E279" s="8">
        <v>145000</v>
      </c>
      <c r="F279" s="174">
        <v>145000</v>
      </c>
      <c r="G279" s="125">
        <f t="shared" si="9"/>
        <v>0</v>
      </c>
      <c r="H279" s="241"/>
    </row>
    <row r="280" spans="1:8" ht="16.5">
      <c r="A280" s="3">
        <f>IF(F280="","",COUNTA($F$238:F280))</f>
        <v>39</v>
      </c>
      <c r="B280" s="46" t="s">
        <v>3240</v>
      </c>
      <c r="C280" s="44" t="s">
        <v>2702</v>
      </c>
      <c r="D280" s="62" t="s">
        <v>83</v>
      </c>
      <c r="E280" s="6">
        <v>185000</v>
      </c>
      <c r="F280" s="204">
        <v>185000</v>
      </c>
      <c r="G280" s="125">
        <f aca="true" t="shared" si="10" ref="G280:G286">(E280-F280)/F280</f>
        <v>0</v>
      </c>
      <c r="H280" s="241"/>
    </row>
    <row r="281" spans="1:8" ht="16.5">
      <c r="A281" s="3">
        <f>IF(F281="","",COUNTA($F$238:F281))</f>
        <v>40</v>
      </c>
      <c r="B281" s="46" t="s">
        <v>3241</v>
      </c>
      <c r="C281" s="44" t="s">
        <v>2702</v>
      </c>
      <c r="D281" s="62" t="s">
        <v>83</v>
      </c>
      <c r="E281" s="6">
        <v>200000</v>
      </c>
      <c r="F281" s="204">
        <v>200000</v>
      </c>
      <c r="G281" s="125">
        <f t="shared" si="10"/>
        <v>0</v>
      </c>
      <c r="H281" s="241"/>
    </row>
    <row r="282" spans="1:8" ht="16.5">
      <c r="A282" s="3">
        <f>IF(F282="","",COUNTA($F$238:F282))</f>
        <v>41</v>
      </c>
      <c r="B282" s="46" t="s">
        <v>3242</v>
      </c>
      <c r="C282" s="44" t="s">
        <v>2702</v>
      </c>
      <c r="D282" s="62" t="s">
        <v>83</v>
      </c>
      <c r="E282" s="6">
        <v>250000</v>
      </c>
      <c r="F282" s="204">
        <v>250000</v>
      </c>
      <c r="G282" s="125">
        <f t="shared" si="10"/>
        <v>0</v>
      </c>
      <c r="H282" s="241"/>
    </row>
    <row r="283" spans="1:8" ht="16.5">
      <c r="A283" s="3">
        <f>IF(E283="","",COUNTA($E$239:E284))</f>
        <v>42</v>
      </c>
      <c r="B283" s="46" t="s">
        <v>3245</v>
      </c>
      <c r="C283" s="44" t="s">
        <v>2702</v>
      </c>
      <c r="D283" s="62" t="s">
        <v>84</v>
      </c>
      <c r="E283" s="6">
        <v>205000</v>
      </c>
      <c r="F283" s="204">
        <v>205000</v>
      </c>
      <c r="G283" s="125">
        <f t="shared" si="10"/>
        <v>0</v>
      </c>
      <c r="H283" s="241"/>
    </row>
    <row r="284" spans="1:8" ht="16.5">
      <c r="A284" s="3">
        <f>IF(F284="","",COUNTA($F$238:F284))</f>
        <v>43</v>
      </c>
      <c r="B284" s="46" t="s">
        <v>3120</v>
      </c>
      <c r="C284" s="44" t="s">
        <v>2702</v>
      </c>
      <c r="D284" s="62" t="s">
        <v>84</v>
      </c>
      <c r="E284" s="6">
        <v>220000</v>
      </c>
      <c r="F284" s="204">
        <v>220000</v>
      </c>
      <c r="G284" s="125">
        <f t="shared" si="10"/>
        <v>0</v>
      </c>
      <c r="H284" s="241"/>
    </row>
    <row r="285" spans="1:8" ht="16.5">
      <c r="A285" s="3">
        <f>IF(F285="","",COUNTA($F$238:F285))</f>
        <v>44</v>
      </c>
      <c r="B285" s="46" t="s">
        <v>3243</v>
      </c>
      <c r="C285" s="44" t="s">
        <v>2702</v>
      </c>
      <c r="D285" s="62" t="s">
        <v>84</v>
      </c>
      <c r="E285" s="6">
        <v>226000</v>
      </c>
      <c r="F285" s="204">
        <v>226000</v>
      </c>
      <c r="G285" s="125">
        <f t="shared" si="10"/>
        <v>0</v>
      </c>
      <c r="H285" s="241"/>
    </row>
    <row r="286" spans="1:8" ht="16.5">
      <c r="A286" s="3">
        <f>IF(F286="","",COUNTA($F$238:F286))</f>
        <v>45</v>
      </c>
      <c r="B286" s="46" t="s">
        <v>3244</v>
      </c>
      <c r="C286" s="44" t="s">
        <v>2702</v>
      </c>
      <c r="D286" s="62" t="s">
        <v>84</v>
      </c>
      <c r="E286" s="6">
        <v>275000</v>
      </c>
      <c r="F286" s="204">
        <v>275000</v>
      </c>
      <c r="G286" s="125">
        <f t="shared" si="10"/>
        <v>0</v>
      </c>
      <c r="H286" s="241"/>
    </row>
    <row r="287" spans="1:8" ht="17.25">
      <c r="A287" s="3">
        <f>IF(F287="","",COUNTA($F$238:F287))</f>
      </c>
      <c r="B287" s="26" t="s">
        <v>2703</v>
      </c>
      <c r="C287" s="44"/>
      <c r="E287" s="5"/>
      <c r="F287" s="177"/>
      <c r="G287" s="125"/>
      <c r="H287" s="241"/>
    </row>
    <row r="288" spans="1:8" ht="16.5">
      <c r="A288" s="3">
        <f>IF(F288="","",COUNTA($F$238:F288))</f>
        <v>46</v>
      </c>
      <c r="B288" s="137" t="s">
        <v>3121</v>
      </c>
      <c r="C288" s="44" t="s">
        <v>2702</v>
      </c>
      <c r="D288" s="165" t="s">
        <v>83</v>
      </c>
      <c r="E288" s="166">
        <v>200000</v>
      </c>
      <c r="F288" s="166">
        <v>200000</v>
      </c>
      <c r="G288" s="125">
        <f t="shared" si="9"/>
        <v>0</v>
      </c>
      <c r="H288" s="241"/>
    </row>
    <row r="289" spans="1:8" ht="18.75">
      <c r="A289" s="3">
        <f>IF(F289="","",COUNTA($F$238:F289))</f>
        <v>47</v>
      </c>
      <c r="B289" s="137" t="s">
        <v>3122</v>
      </c>
      <c r="C289" s="44" t="s">
        <v>2702</v>
      </c>
      <c r="D289" s="165" t="s">
        <v>83</v>
      </c>
      <c r="E289" s="218">
        <v>185000</v>
      </c>
      <c r="F289" s="205">
        <v>185000</v>
      </c>
      <c r="G289" s="125">
        <f>(E289-F289)/F289</f>
        <v>0</v>
      </c>
      <c r="H289" s="241"/>
    </row>
    <row r="290" spans="1:8" ht="18.75">
      <c r="A290" s="3">
        <f>IF(F290="","",COUNTA($F$238:F290))</f>
        <v>48</v>
      </c>
      <c r="B290" s="137" t="s">
        <v>3123</v>
      </c>
      <c r="C290" s="44" t="s">
        <v>2702</v>
      </c>
      <c r="D290" s="165" t="s">
        <v>3127</v>
      </c>
      <c r="E290" s="218">
        <v>235000</v>
      </c>
      <c r="F290" s="205">
        <v>235000</v>
      </c>
      <c r="G290" s="125">
        <f>(E290-F290)/F290</f>
        <v>0</v>
      </c>
      <c r="H290" s="241"/>
    </row>
    <row r="291" spans="1:8" ht="18.75">
      <c r="A291" s="3">
        <f>IF(F291="","",COUNTA($F$238:F291))</f>
        <v>49</v>
      </c>
      <c r="B291" s="137" t="s">
        <v>3124</v>
      </c>
      <c r="C291" s="44" t="s">
        <v>2702</v>
      </c>
      <c r="D291" s="165" t="s">
        <v>3127</v>
      </c>
      <c r="E291" s="218">
        <v>250000</v>
      </c>
      <c r="F291" s="205">
        <v>250000</v>
      </c>
      <c r="G291" s="125">
        <f>(E291-F291)/F291</f>
        <v>0</v>
      </c>
      <c r="H291" s="241"/>
    </row>
    <row r="292" spans="1:8" ht="18.75">
      <c r="A292" s="3">
        <f>IF(F292="","",COUNTA($F$238:F292))</f>
        <v>50</v>
      </c>
      <c r="B292" s="206" t="s">
        <v>3125</v>
      </c>
      <c r="C292" s="44" t="s">
        <v>2702</v>
      </c>
      <c r="D292" s="165" t="s">
        <v>3128</v>
      </c>
      <c r="E292" s="218">
        <v>150000</v>
      </c>
      <c r="F292" s="205">
        <v>150000</v>
      </c>
      <c r="G292" s="125">
        <f>(E292-F292)/F292</f>
        <v>0</v>
      </c>
      <c r="H292" s="241"/>
    </row>
    <row r="293" spans="1:8" ht="18.75">
      <c r="A293" s="3">
        <f>IF(F293="","",COUNTA($F$238:F293))</f>
        <v>51</v>
      </c>
      <c r="B293" s="206" t="s">
        <v>3126</v>
      </c>
      <c r="C293" s="44" t="s">
        <v>2702</v>
      </c>
      <c r="D293" s="165" t="s">
        <v>3128</v>
      </c>
      <c r="E293" s="218">
        <v>156000</v>
      </c>
      <c r="F293" s="205">
        <v>156000</v>
      </c>
      <c r="G293" s="125">
        <f>(E293-F293)/F293</f>
        <v>0</v>
      </c>
      <c r="H293" s="241"/>
    </row>
    <row r="294" spans="1:8" ht="17.25">
      <c r="A294" s="3">
        <f>IF(F294="","",COUNTA($F$238:F294))</f>
      </c>
      <c r="B294" s="26" t="s">
        <v>3246</v>
      </c>
      <c r="C294" s="44"/>
      <c r="E294" s="5"/>
      <c r="F294" s="177"/>
      <c r="G294" s="125"/>
      <c r="H294" s="241"/>
    </row>
    <row r="295" spans="1:8" ht="16.5">
      <c r="A295" s="3">
        <f>IF(E295="","",COUNTA($E$238:E295))</f>
        <v>52</v>
      </c>
      <c r="B295" s="207" t="s">
        <v>3247</v>
      </c>
      <c r="C295" s="208" t="s">
        <v>1135</v>
      </c>
      <c r="D295" s="62" t="s">
        <v>85</v>
      </c>
      <c r="E295" s="200">
        <v>110000</v>
      </c>
      <c r="F295" s="200">
        <v>110000</v>
      </c>
      <c r="G295" s="125">
        <f>(E295-F295)/F295</f>
        <v>0</v>
      </c>
      <c r="H295" s="241"/>
    </row>
    <row r="296" spans="1:8" ht="16.5">
      <c r="A296" s="3">
        <f>IF(E296="","",COUNTA($E$238:E296))</f>
        <v>53</v>
      </c>
      <c r="B296" s="207" t="s">
        <v>3248</v>
      </c>
      <c r="C296" s="208" t="s">
        <v>1135</v>
      </c>
      <c r="D296" s="62" t="s">
        <v>3259</v>
      </c>
      <c r="E296" s="200">
        <v>135000</v>
      </c>
      <c r="F296" s="200">
        <v>135000</v>
      </c>
      <c r="G296" s="125">
        <f aca="true" t="shared" si="11" ref="G296:G305">(E296-F296)/F296</f>
        <v>0</v>
      </c>
      <c r="H296" s="241"/>
    </row>
    <row r="297" spans="1:8" ht="16.5">
      <c r="A297" s="3">
        <f>IF(E297="","",COUNTA($E$238:E297))</f>
        <v>54</v>
      </c>
      <c r="B297" s="207" t="s">
        <v>3249</v>
      </c>
      <c r="C297" s="208" t="s">
        <v>1135</v>
      </c>
      <c r="D297" s="62" t="s">
        <v>3259</v>
      </c>
      <c r="E297" s="200">
        <v>175000</v>
      </c>
      <c r="F297" s="200">
        <v>175000</v>
      </c>
      <c r="G297" s="125">
        <f t="shared" si="11"/>
        <v>0</v>
      </c>
      <c r="H297" s="241"/>
    </row>
    <row r="298" spans="1:8" ht="16.5">
      <c r="A298" s="3">
        <f>IF(E298="","",COUNTA($E$238:E298))</f>
        <v>55</v>
      </c>
      <c r="B298" s="207" t="s">
        <v>3250</v>
      </c>
      <c r="C298" s="208" t="s">
        <v>1135</v>
      </c>
      <c r="D298" s="62" t="s">
        <v>3259</v>
      </c>
      <c r="E298" s="200">
        <v>198000</v>
      </c>
      <c r="F298" s="200">
        <v>198000</v>
      </c>
      <c r="G298" s="125">
        <f t="shared" si="11"/>
        <v>0</v>
      </c>
      <c r="H298" s="241"/>
    </row>
    <row r="299" spans="1:8" ht="16.5">
      <c r="A299" s="3">
        <f>IF(E299="","",COUNTA($E$238:E299))</f>
        <v>56</v>
      </c>
      <c r="B299" s="207" t="s">
        <v>3251</v>
      </c>
      <c r="C299" s="208" t="s">
        <v>1135</v>
      </c>
      <c r="D299" s="62" t="s">
        <v>3127</v>
      </c>
      <c r="E299" s="200">
        <v>220000</v>
      </c>
      <c r="F299" s="200">
        <v>220000</v>
      </c>
      <c r="G299" s="125">
        <f t="shared" si="11"/>
        <v>0</v>
      </c>
      <c r="H299" s="241"/>
    </row>
    <row r="300" spans="1:8" ht="16.5">
      <c r="A300" s="3">
        <f>IF(E300="","",COUNTA($E$238:E300))</f>
        <v>57</v>
      </c>
      <c r="B300" s="199" t="s">
        <v>3252</v>
      </c>
      <c r="C300" s="208" t="s">
        <v>1135</v>
      </c>
      <c r="D300" s="62" t="s">
        <v>3127</v>
      </c>
      <c r="E300" s="200">
        <v>230000</v>
      </c>
      <c r="F300" s="200">
        <v>230000</v>
      </c>
      <c r="G300" s="125">
        <f t="shared" si="11"/>
        <v>0</v>
      </c>
      <c r="H300" s="241"/>
    </row>
    <row r="301" spans="1:8" ht="17.25">
      <c r="A301" s="3">
        <f>IF(E301="","",COUNTA($E$238:E301))</f>
      </c>
      <c r="B301" s="26" t="s">
        <v>3253</v>
      </c>
      <c r="C301" s="202"/>
      <c r="E301" s="201"/>
      <c r="F301" s="201"/>
      <c r="G301" s="125"/>
      <c r="H301" s="241"/>
    </row>
    <row r="302" spans="1:8" ht="16.5">
      <c r="A302" s="3">
        <f>IF(E302="","",COUNTA($E$238:E302))</f>
        <v>58</v>
      </c>
      <c r="B302" s="197" t="s">
        <v>3254</v>
      </c>
      <c r="C302" s="202" t="s">
        <v>2748</v>
      </c>
      <c r="D302" s="62" t="s">
        <v>3260</v>
      </c>
      <c r="E302" s="201">
        <v>130000</v>
      </c>
      <c r="F302" s="201">
        <v>130000</v>
      </c>
      <c r="G302" s="125">
        <f t="shared" si="11"/>
        <v>0</v>
      </c>
      <c r="H302" s="241"/>
    </row>
    <row r="303" spans="1:8" ht="16.5">
      <c r="A303" s="3">
        <f>IF(E303="","",COUNTA($E$238:E303))</f>
        <v>59</v>
      </c>
      <c r="B303" s="197" t="s">
        <v>3255</v>
      </c>
      <c r="C303" s="202" t="s">
        <v>2748</v>
      </c>
      <c r="D303" s="62" t="s">
        <v>3260</v>
      </c>
      <c r="E303" s="201">
        <v>150000</v>
      </c>
      <c r="F303" s="201">
        <v>150000</v>
      </c>
      <c r="G303" s="125">
        <f t="shared" si="11"/>
        <v>0</v>
      </c>
      <c r="H303" s="241"/>
    </row>
    <row r="304" spans="1:8" ht="17.25">
      <c r="A304" s="3">
        <f>IF(E304="","",COUNTA($E$238:E304))</f>
      </c>
      <c r="B304" s="26" t="s">
        <v>3256</v>
      </c>
      <c r="C304" s="202"/>
      <c r="E304" s="5"/>
      <c r="F304" s="177"/>
      <c r="G304" s="125"/>
      <c r="H304" s="241"/>
    </row>
    <row r="305" spans="1:8" ht="16.5">
      <c r="A305" s="3">
        <f>IF(E305="","",COUNTA($E$238:E305))</f>
        <v>60</v>
      </c>
      <c r="B305" s="199" t="s">
        <v>3257</v>
      </c>
      <c r="C305" s="202" t="s">
        <v>1135</v>
      </c>
      <c r="D305" s="62" t="s">
        <v>3259</v>
      </c>
      <c r="E305" s="201">
        <v>125000</v>
      </c>
      <c r="F305" s="201">
        <v>125000</v>
      </c>
      <c r="G305" s="125">
        <f t="shared" si="11"/>
        <v>0</v>
      </c>
      <c r="H305" s="241"/>
    </row>
    <row r="306" spans="1:8" ht="16.5">
      <c r="A306" s="3">
        <f>IF(E306="","",COUNTA($E$238:E306))</f>
        <v>61</v>
      </c>
      <c r="B306" s="198" t="s">
        <v>3258</v>
      </c>
      <c r="C306" s="202" t="s">
        <v>1135</v>
      </c>
      <c r="D306" s="62" t="s">
        <v>3259</v>
      </c>
      <c r="E306" s="201">
        <v>130000</v>
      </c>
      <c r="F306" s="201">
        <v>130000</v>
      </c>
      <c r="G306" s="125"/>
      <c r="H306" s="241"/>
    </row>
    <row r="307" spans="1:8" ht="17.25">
      <c r="A307" s="3">
        <f>IF(E307="","",COUNTA($E$238:E307))</f>
      </c>
      <c r="B307" s="26" t="s">
        <v>2330</v>
      </c>
      <c r="C307" s="44"/>
      <c r="E307" s="5"/>
      <c r="F307" s="177"/>
      <c r="G307" s="125"/>
      <c r="H307" s="241"/>
    </row>
    <row r="308" spans="1:8" ht="16.5">
      <c r="A308" s="3">
        <f>IF(E308="","",COUNTA($E$238:E308))</f>
        <v>62</v>
      </c>
      <c r="B308" s="28" t="s">
        <v>2331</v>
      </c>
      <c r="C308" s="44" t="s">
        <v>2748</v>
      </c>
      <c r="D308" s="62" t="s">
        <v>86</v>
      </c>
      <c r="E308" s="5">
        <v>150000</v>
      </c>
      <c r="F308" s="177">
        <v>150000</v>
      </c>
      <c r="G308" s="125">
        <f t="shared" si="9"/>
        <v>0</v>
      </c>
      <c r="H308" s="241"/>
    </row>
    <row r="309" spans="1:8" ht="16.5">
      <c r="A309" s="3">
        <f>IF(E309="","",COUNTA($E$238:E309))</f>
        <v>63</v>
      </c>
      <c r="B309" s="28" t="s">
        <v>2332</v>
      </c>
      <c r="C309" s="44" t="s">
        <v>2748</v>
      </c>
      <c r="D309" s="62" t="s">
        <v>86</v>
      </c>
      <c r="E309" s="5">
        <v>187000</v>
      </c>
      <c r="F309" s="177">
        <v>187000</v>
      </c>
      <c r="G309" s="125">
        <f t="shared" si="9"/>
        <v>0</v>
      </c>
      <c r="H309" s="241"/>
    </row>
    <row r="310" spans="1:8" ht="16.5">
      <c r="A310" s="3">
        <f>IF(E310="","",COUNTA($E$238:E310))</f>
        <v>64</v>
      </c>
      <c r="B310" s="28" t="s">
        <v>2333</v>
      </c>
      <c r="C310" s="44" t="s">
        <v>2702</v>
      </c>
      <c r="D310" s="62" t="s">
        <v>85</v>
      </c>
      <c r="E310" s="5">
        <v>135000</v>
      </c>
      <c r="F310" s="177">
        <v>135000</v>
      </c>
      <c r="G310" s="125">
        <f t="shared" si="9"/>
        <v>0</v>
      </c>
      <c r="H310" s="241"/>
    </row>
    <row r="311" spans="1:8" ht="16.5">
      <c r="A311" s="3">
        <f>IF(E311="","",COUNTA($E$238:E311))</f>
        <v>65</v>
      </c>
      <c r="B311" s="28" t="s">
        <v>2334</v>
      </c>
      <c r="C311" s="44" t="s">
        <v>2702</v>
      </c>
      <c r="D311" s="62" t="s">
        <v>85</v>
      </c>
      <c r="E311" s="8">
        <v>190000</v>
      </c>
      <c r="F311" s="174">
        <v>190000</v>
      </c>
      <c r="G311" s="125">
        <f t="shared" si="9"/>
        <v>0</v>
      </c>
      <c r="H311" s="241"/>
    </row>
    <row r="312" spans="1:8" ht="16.5">
      <c r="A312" s="3">
        <f>IF(E312="","",COUNTA($E$238:E312))</f>
        <v>66</v>
      </c>
      <c r="B312" s="28" t="s">
        <v>2335</v>
      </c>
      <c r="C312" s="44" t="s">
        <v>2702</v>
      </c>
      <c r="D312" s="62" t="s">
        <v>93</v>
      </c>
      <c r="E312" s="8">
        <v>175000</v>
      </c>
      <c r="F312" s="174">
        <v>175000</v>
      </c>
      <c r="G312" s="125">
        <f t="shared" si="9"/>
        <v>0</v>
      </c>
      <c r="H312" s="241"/>
    </row>
    <row r="313" spans="1:8" ht="16.5">
      <c r="A313" s="3">
        <f>IF(E313="","",COUNTA($E$238:E313))</f>
        <v>67</v>
      </c>
      <c r="B313" s="28" t="s">
        <v>2333</v>
      </c>
      <c r="C313" s="44" t="s">
        <v>2702</v>
      </c>
      <c r="D313" s="62" t="s">
        <v>93</v>
      </c>
      <c r="E313" s="8">
        <v>195000</v>
      </c>
      <c r="F313" s="174">
        <v>195000</v>
      </c>
      <c r="G313" s="125">
        <f t="shared" si="9"/>
        <v>0</v>
      </c>
      <c r="H313" s="241"/>
    </row>
    <row r="314" spans="1:8" ht="16.5">
      <c r="A314" s="3">
        <f>IF(E314="","",COUNTA($E$238:E314))</f>
        <v>68</v>
      </c>
      <c r="B314" s="28" t="s">
        <v>2336</v>
      </c>
      <c r="C314" s="44" t="s">
        <v>2702</v>
      </c>
      <c r="D314" s="62" t="s">
        <v>83</v>
      </c>
      <c r="E314" s="5">
        <v>155000</v>
      </c>
      <c r="F314" s="177">
        <v>155000</v>
      </c>
      <c r="G314" s="125">
        <f t="shared" si="9"/>
        <v>0</v>
      </c>
      <c r="H314" s="241"/>
    </row>
    <row r="315" spans="1:8" ht="16.5">
      <c r="A315" s="3">
        <f>IF(E315="","",COUNTA($E$238:E315))</f>
        <v>69</v>
      </c>
      <c r="B315" s="281" t="s">
        <v>3262</v>
      </c>
      <c r="C315" s="44" t="s">
        <v>2702</v>
      </c>
      <c r="D315" s="62" t="s">
        <v>83</v>
      </c>
      <c r="E315" s="201">
        <v>176000</v>
      </c>
      <c r="F315" s="282">
        <v>176000</v>
      </c>
      <c r="G315" s="125">
        <f t="shared" si="9"/>
        <v>0</v>
      </c>
      <c r="H315" s="241"/>
    </row>
    <row r="316" spans="1:8" ht="16.5">
      <c r="A316" s="3">
        <f>IF(E316="","",COUNTA($E$238:E316))</f>
        <v>70</v>
      </c>
      <c r="B316" s="281" t="s">
        <v>3263</v>
      </c>
      <c r="C316" s="44" t="s">
        <v>2702</v>
      </c>
      <c r="D316" s="62" t="s">
        <v>83</v>
      </c>
      <c r="E316" s="201">
        <v>186000</v>
      </c>
      <c r="F316" s="282">
        <v>186000</v>
      </c>
      <c r="G316" s="125">
        <f t="shared" si="9"/>
        <v>0</v>
      </c>
      <c r="H316" s="241"/>
    </row>
    <row r="317" spans="1:8" ht="16.5">
      <c r="A317" s="3">
        <f>IF(E317="","",COUNTA($E$238:E317))</f>
        <v>71</v>
      </c>
      <c r="B317" s="281" t="s">
        <v>3264</v>
      </c>
      <c r="C317" s="44" t="s">
        <v>2702</v>
      </c>
      <c r="D317" s="62" t="s">
        <v>84</v>
      </c>
      <c r="E317" s="201">
        <v>235000</v>
      </c>
      <c r="F317" s="282">
        <v>235000</v>
      </c>
      <c r="G317" s="125">
        <f t="shared" si="9"/>
        <v>0</v>
      </c>
      <c r="H317" s="241"/>
    </row>
    <row r="318" spans="1:8" ht="16.5">
      <c r="A318" s="3">
        <f>IF(E318="","",COUNTA($E$238:E318))</f>
        <v>72</v>
      </c>
      <c r="B318" s="281" t="s">
        <v>3265</v>
      </c>
      <c r="C318" s="44" t="s">
        <v>2702</v>
      </c>
      <c r="D318" s="62" t="s">
        <v>84</v>
      </c>
      <c r="E318" s="201">
        <v>259000</v>
      </c>
      <c r="F318" s="282">
        <v>259000</v>
      </c>
      <c r="G318" s="125">
        <f t="shared" si="9"/>
        <v>0</v>
      </c>
      <c r="H318" s="241"/>
    </row>
    <row r="319" spans="1:8" ht="16.5">
      <c r="A319" s="3">
        <f>IF(E319="","",COUNTA($E$238:E319))</f>
        <v>73</v>
      </c>
      <c r="B319" s="281" t="s">
        <v>3266</v>
      </c>
      <c r="C319" s="44" t="s">
        <v>2702</v>
      </c>
      <c r="D319" s="62" t="s">
        <v>84</v>
      </c>
      <c r="E319" s="201">
        <v>293000</v>
      </c>
      <c r="F319" s="282">
        <v>293000</v>
      </c>
      <c r="G319" s="125">
        <f t="shared" si="9"/>
        <v>0</v>
      </c>
      <c r="H319" s="242"/>
    </row>
    <row r="320" spans="1:8" ht="17.25" customHeight="1">
      <c r="A320" s="3">
        <f>IF(E320="","",COUNTA($E$238:E320))</f>
      </c>
      <c r="B320" s="32" t="s">
        <v>2786</v>
      </c>
      <c r="C320" s="44"/>
      <c r="E320" s="106"/>
      <c r="F320" s="283"/>
      <c r="G320" s="125"/>
      <c r="H320" s="240" t="s">
        <v>1203</v>
      </c>
    </row>
    <row r="321" spans="1:8" ht="16.5">
      <c r="A321" s="3">
        <f>IF(E321="","",COUNTA($E$238:E321))</f>
        <v>74</v>
      </c>
      <c r="B321" s="167" t="s">
        <v>2704</v>
      </c>
      <c r="C321" s="165" t="s">
        <v>1135</v>
      </c>
      <c r="D321" s="165" t="s">
        <v>86</v>
      </c>
      <c r="E321" s="45">
        <v>109091</v>
      </c>
      <c r="F321" s="107">
        <v>107272.72727272726</v>
      </c>
      <c r="G321" s="125">
        <f>(E321-F321)/F321</f>
        <v>0.016950000000000076</v>
      </c>
      <c r="H321" s="241"/>
    </row>
    <row r="322" spans="1:8" ht="16.5">
      <c r="A322" s="3">
        <f>IF(E322="","",COUNTA($E$238:E322))</f>
        <v>75</v>
      </c>
      <c r="B322" s="167" t="s">
        <v>179</v>
      </c>
      <c r="C322" s="165" t="s">
        <v>1135</v>
      </c>
      <c r="D322" s="165" t="s">
        <v>85</v>
      </c>
      <c r="E322" s="45">
        <v>98181.81818181818</v>
      </c>
      <c r="F322" s="107">
        <v>98181.81818181818</v>
      </c>
      <c r="G322" s="125">
        <f aca="true" t="shared" si="12" ref="G322:G384">(E322-F322)/F322</f>
        <v>0</v>
      </c>
      <c r="H322" s="241"/>
    </row>
    <row r="323" spans="1:8" ht="33">
      <c r="A323" s="3">
        <f>IF(E323="","",COUNTA($E$238:E323))</f>
        <v>76</v>
      </c>
      <c r="B323" s="167" t="s">
        <v>180</v>
      </c>
      <c r="C323" s="165" t="s">
        <v>1135</v>
      </c>
      <c r="D323" s="165" t="s">
        <v>85</v>
      </c>
      <c r="E323" s="45">
        <v>116363.63636363635</v>
      </c>
      <c r="F323" s="107">
        <v>116363.63636363635</v>
      </c>
      <c r="G323" s="125">
        <f t="shared" si="12"/>
        <v>0</v>
      </c>
      <c r="H323" s="241"/>
    </row>
    <row r="324" spans="1:8" ht="16.5">
      <c r="A324" s="3">
        <f>IF(E324="","",COUNTA($E$238:E324))</f>
        <v>77</v>
      </c>
      <c r="B324" s="167" t="s">
        <v>2705</v>
      </c>
      <c r="C324" s="165" t="s">
        <v>1135</v>
      </c>
      <c r="D324" s="165" t="s">
        <v>85</v>
      </c>
      <c r="E324" s="45">
        <v>124545.45454545453</v>
      </c>
      <c r="F324" s="107">
        <v>124545.45454545453</v>
      </c>
      <c r="G324" s="125">
        <f t="shared" si="12"/>
        <v>0</v>
      </c>
      <c r="H324" s="241"/>
    </row>
    <row r="325" spans="1:8" ht="33">
      <c r="A325" s="3">
        <f>IF(E325="","",COUNTA($E$238:E325))</f>
        <v>78</v>
      </c>
      <c r="B325" s="167" t="s">
        <v>181</v>
      </c>
      <c r="C325" s="165" t="s">
        <v>1135</v>
      </c>
      <c r="D325" s="165" t="s">
        <v>85</v>
      </c>
      <c r="E325" s="45">
        <v>119090.90909090909</v>
      </c>
      <c r="F325" s="107">
        <v>119090.90909090909</v>
      </c>
      <c r="G325" s="125">
        <f t="shared" si="12"/>
        <v>0</v>
      </c>
      <c r="H325" s="241"/>
    </row>
    <row r="326" spans="1:8" ht="16.5">
      <c r="A326" s="3">
        <f>IF(E326="","",COUNTA($E$238:E326))</f>
        <v>79</v>
      </c>
      <c r="B326" s="167" t="s">
        <v>2706</v>
      </c>
      <c r="C326" s="165" t="s">
        <v>1135</v>
      </c>
      <c r="D326" s="165" t="s">
        <v>88</v>
      </c>
      <c r="E326" s="45">
        <v>107272.72727272726</v>
      </c>
      <c r="F326" s="107">
        <v>107272.72727272726</v>
      </c>
      <c r="G326" s="125">
        <f t="shared" si="12"/>
        <v>0</v>
      </c>
      <c r="H326" s="241"/>
    </row>
    <row r="327" spans="1:8" ht="16.5">
      <c r="A327" s="3">
        <f>IF(E327="","",COUNTA($E$238:E327))</f>
        <v>80</v>
      </c>
      <c r="B327" s="167" t="s">
        <v>182</v>
      </c>
      <c r="C327" s="165" t="s">
        <v>1135</v>
      </c>
      <c r="D327" s="165" t="s">
        <v>88</v>
      </c>
      <c r="E327" s="45">
        <v>93636</v>
      </c>
      <c r="F327" s="107">
        <v>90909.0909090909</v>
      </c>
      <c r="G327" s="125">
        <f t="shared" si="12"/>
        <v>0.029996000000000134</v>
      </c>
      <c r="H327" s="241"/>
    </row>
    <row r="328" spans="1:8" ht="33">
      <c r="A328" s="3">
        <f>IF(E328="","",COUNTA($E$238:E328))</f>
        <v>81</v>
      </c>
      <c r="B328" s="167" t="s">
        <v>2707</v>
      </c>
      <c r="C328" s="165" t="s">
        <v>1135</v>
      </c>
      <c r="D328" s="165" t="s">
        <v>83</v>
      </c>
      <c r="E328" s="45">
        <v>103636.36363636363</v>
      </c>
      <c r="F328" s="107">
        <v>103636.36363636363</v>
      </c>
      <c r="G328" s="125">
        <f t="shared" si="12"/>
        <v>0</v>
      </c>
      <c r="H328" s="241"/>
    </row>
    <row r="329" spans="1:8" ht="33">
      <c r="A329" s="3">
        <f>IF(E329="","",COUNTA($E$238:E329))</f>
        <v>82</v>
      </c>
      <c r="B329" s="167" t="s">
        <v>2708</v>
      </c>
      <c r="C329" s="165" t="s">
        <v>1135</v>
      </c>
      <c r="D329" s="165" t="s">
        <v>83</v>
      </c>
      <c r="E329" s="45">
        <v>106363.63636363635</v>
      </c>
      <c r="F329" s="107">
        <v>106363.63636363635</v>
      </c>
      <c r="G329" s="125">
        <f t="shared" si="12"/>
        <v>0</v>
      </c>
      <c r="H329" s="241"/>
    </row>
    <row r="330" spans="1:8" ht="16.5">
      <c r="A330" s="3">
        <f>IF(E330="","",COUNTA($E$238:E330))</f>
        <v>83</v>
      </c>
      <c r="B330" s="167" t="s">
        <v>186</v>
      </c>
      <c r="C330" s="165" t="s">
        <v>1135</v>
      </c>
      <c r="D330" s="165" t="s">
        <v>83</v>
      </c>
      <c r="E330" s="45">
        <v>130909.0909090909</v>
      </c>
      <c r="F330" s="107">
        <v>130909.0909090909</v>
      </c>
      <c r="G330" s="125">
        <f t="shared" si="12"/>
        <v>0</v>
      </c>
      <c r="H330" s="241"/>
    </row>
    <row r="331" spans="1:8" ht="33">
      <c r="A331" s="3">
        <f>IF(E331="","",COUNTA($E$238:E331))</f>
        <v>84</v>
      </c>
      <c r="B331" s="167" t="s">
        <v>2709</v>
      </c>
      <c r="C331" s="165" t="s">
        <v>1135</v>
      </c>
      <c r="D331" s="165" t="s">
        <v>83</v>
      </c>
      <c r="E331" s="45">
        <v>148181.81818181818</v>
      </c>
      <c r="F331" s="107">
        <v>148181.81818181818</v>
      </c>
      <c r="G331" s="125">
        <f t="shared" si="12"/>
        <v>0</v>
      </c>
      <c r="H331" s="241"/>
    </row>
    <row r="332" spans="1:8" ht="33">
      <c r="A332" s="3">
        <f>IF(E332="","",COUNTA($E$238:E332))</f>
        <v>85</v>
      </c>
      <c r="B332" s="167" t="s">
        <v>2710</v>
      </c>
      <c r="C332" s="165" t="s">
        <v>1135</v>
      </c>
      <c r="D332" s="165" t="s">
        <v>83</v>
      </c>
      <c r="E332" s="45">
        <v>161818.1818181818</v>
      </c>
      <c r="F332" s="107">
        <v>161818.1818181818</v>
      </c>
      <c r="G332" s="125">
        <f t="shared" si="12"/>
        <v>0</v>
      </c>
      <c r="H332" s="241"/>
    </row>
    <row r="333" spans="1:8" ht="16.5">
      <c r="A333" s="3">
        <f>IF(E333="","",COUNTA($E$238:E333))</f>
        <v>86</v>
      </c>
      <c r="B333" s="167" t="s">
        <v>2711</v>
      </c>
      <c r="C333" s="165" t="s">
        <v>1135</v>
      </c>
      <c r="D333" s="165" t="s">
        <v>84</v>
      </c>
      <c r="E333" s="45">
        <v>221818.1818181818</v>
      </c>
      <c r="F333" s="107">
        <v>221818.1818181818</v>
      </c>
      <c r="G333" s="125">
        <f t="shared" si="12"/>
        <v>0</v>
      </c>
      <c r="H333" s="241"/>
    </row>
    <row r="334" spans="1:9" ht="16.5">
      <c r="A334" s="3">
        <f>IF(E334="","",COUNTA($E$238:E334))</f>
        <v>87</v>
      </c>
      <c r="B334" s="167" t="s">
        <v>2712</v>
      </c>
      <c r="C334" s="165" t="s">
        <v>1135</v>
      </c>
      <c r="D334" s="165" t="s">
        <v>84</v>
      </c>
      <c r="E334" s="45">
        <v>262727.2727272727</v>
      </c>
      <c r="F334" s="107">
        <v>262727.2727272727</v>
      </c>
      <c r="G334" s="125">
        <f t="shared" si="12"/>
        <v>0</v>
      </c>
      <c r="H334" s="241"/>
      <c r="I334" s="45"/>
    </row>
    <row r="335" spans="1:9" ht="33">
      <c r="A335" s="3">
        <f>IF(E335="","",COUNTA($E$238:E335))</f>
        <v>88</v>
      </c>
      <c r="B335" s="167" t="s">
        <v>192</v>
      </c>
      <c r="C335" s="165" t="s">
        <v>1135</v>
      </c>
      <c r="D335" s="165" t="s">
        <v>84</v>
      </c>
      <c r="E335" s="45">
        <v>363636.3636363636</v>
      </c>
      <c r="F335" s="107">
        <v>363636.3636363636</v>
      </c>
      <c r="G335" s="125">
        <f t="shared" si="12"/>
        <v>0</v>
      </c>
      <c r="H335" s="241"/>
      <c r="I335" s="45"/>
    </row>
    <row r="336" spans="1:9" ht="33">
      <c r="A336" s="3">
        <f>IF(E336="","",COUNTA($E$238:E336))</f>
        <v>89</v>
      </c>
      <c r="B336" s="167" t="s">
        <v>193</v>
      </c>
      <c r="C336" s="165" t="s">
        <v>1135</v>
      </c>
      <c r="D336" s="165" t="s">
        <v>84</v>
      </c>
      <c r="E336" s="45">
        <v>383636.3636363636</v>
      </c>
      <c r="F336" s="107">
        <v>383636.3636363636</v>
      </c>
      <c r="G336" s="125">
        <f t="shared" si="12"/>
        <v>0</v>
      </c>
      <c r="H336" s="241"/>
      <c r="I336" s="45"/>
    </row>
    <row r="337" spans="1:9" ht="16.5">
      <c r="A337" s="3">
        <f>IF(E337="","",COUNTA($E$238:E337))</f>
        <v>90</v>
      </c>
      <c r="B337" s="167" t="s">
        <v>2715</v>
      </c>
      <c r="C337" s="165" t="s">
        <v>1135</v>
      </c>
      <c r="D337" s="165" t="s">
        <v>91</v>
      </c>
      <c r="E337" s="45">
        <v>393636.3636363636</v>
      </c>
      <c r="F337" s="107">
        <v>393636.3636363636</v>
      </c>
      <c r="G337" s="125">
        <f t="shared" si="12"/>
        <v>0</v>
      </c>
      <c r="H337" s="241"/>
      <c r="I337" s="45"/>
    </row>
    <row r="338" spans="1:9" ht="16.5">
      <c r="A338" s="3">
        <f>IF(E338="","",COUNTA($E$238:E338))</f>
        <v>91</v>
      </c>
      <c r="B338" s="167" t="s">
        <v>2716</v>
      </c>
      <c r="C338" s="165" t="s">
        <v>1135</v>
      </c>
      <c r="D338" s="165" t="s">
        <v>92</v>
      </c>
      <c r="E338" s="45">
        <v>353636.3636363636</v>
      </c>
      <c r="F338" s="107">
        <v>353636.3636363636</v>
      </c>
      <c r="G338" s="125">
        <f t="shared" si="12"/>
        <v>0</v>
      </c>
      <c r="H338" s="241"/>
      <c r="I338" s="45"/>
    </row>
    <row r="339" spans="1:8" ht="17.25">
      <c r="A339" s="3">
        <f>IF(E339="","",COUNTA($E$238:E339))</f>
      </c>
      <c r="B339" s="31" t="s">
        <v>2787</v>
      </c>
      <c r="E339" s="45"/>
      <c r="F339" s="107"/>
      <c r="G339" s="125"/>
      <c r="H339" s="241"/>
    </row>
    <row r="340" spans="1:8" ht="16.5">
      <c r="A340" s="3">
        <f>IF(E340="","",COUNTA($E$238:E340))</f>
        <v>92</v>
      </c>
      <c r="B340" s="168" t="s">
        <v>194</v>
      </c>
      <c r="C340" s="165" t="s">
        <v>1135</v>
      </c>
      <c r="D340" s="165" t="s">
        <v>85</v>
      </c>
      <c r="E340" s="45">
        <v>108181.81818181818</v>
      </c>
      <c r="F340" s="107">
        <v>108181.81818181818</v>
      </c>
      <c r="G340" s="125">
        <f t="shared" si="12"/>
        <v>0</v>
      </c>
      <c r="H340" s="241"/>
    </row>
    <row r="341" spans="1:8" ht="16.5">
      <c r="A341" s="3">
        <f>IF(E341="","",COUNTA($E$238:E341))</f>
        <v>93</v>
      </c>
      <c r="B341" s="168" t="s">
        <v>195</v>
      </c>
      <c r="C341" s="165" t="s">
        <v>1135</v>
      </c>
      <c r="D341" s="165" t="s">
        <v>85</v>
      </c>
      <c r="E341" s="45">
        <v>116363.63636363635</v>
      </c>
      <c r="F341" s="107">
        <v>116363.63636363635</v>
      </c>
      <c r="G341" s="125">
        <f t="shared" si="12"/>
        <v>0</v>
      </c>
      <c r="H341" s="241"/>
    </row>
    <row r="342" spans="1:8" ht="33">
      <c r="A342" s="3">
        <f>IF(E342="","",COUNTA($E$238:E342))</f>
        <v>94</v>
      </c>
      <c r="B342" s="167" t="s">
        <v>196</v>
      </c>
      <c r="C342" s="165" t="s">
        <v>1135</v>
      </c>
      <c r="D342" s="165" t="s">
        <v>85</v>
      </c>
      <c r="E342" s="45">
        <v>126363.63636363635</v>
      </c>
      <c r="F342" s="107">
        <v>126363.63636363635</v>
      </c>
      <c r="G342" s="125">
        <f t="shared" si="12"/>
        <v>0</v>
      </c>
      <c r="H342" s="241"/>
    </row>
    <row r="343" spans="1:8" ht="33">
      <c r="A343" s="3">
        <f>IF(E343="","",COUNTA($E$238:E343))</f>
        <v>95</v>
      </c>
      <c r="B343" s="167" t="s">
        <v>197</v>
      </c>
      <c r="C343" s="165" t="s">
        <v>2748</v>
      </c>
      <c r="D343" s="165" t="s">
        <v>86</v>
      </c>
      <c r="E343" s="45">
        <v>121818</v>
      </c>
      <c r="F343" s="107">
        <v>120909.0909090909</v>
      </c>
      <c r="G343" s="125">
        <f t="shared" si="12"/>
        <v>0.007517293233082806</v>
      </c>
      <c r="H343" s="241"/>
    </row>
    <row r="344" spans="1:8" ht="33">
      <c r="A344" s="3">
        <f>IF(E344="","",COUNTA($E$238:E344))</f>
        <v>96</v>
      </c>
      <c r="B344" s="167" t="s">
        <v>2717</v>
      </c>
      <c r="C344" s="165" t="s">
        <v>3082</v>
      </c>
      <c r="D344" s="165" t="s">
        <v>93</v>
      </c>
      <c r="E344" s="45">
        <v>158181.81818181818</v>
      </c>
      <c r="F344" s="107">
        <v>158181.81818181818</v>
      </c>
      <c r="G344" s="125">
        <f t="shared" si="12"/>
        <v>0</v>
      </c>
      <c r="H344" s="241"/>
    </row>
    <row r="345" spans="1:8" ht="16.5">
      <c r="A345" s="3">
        <f>IF(E345="","",COUNTA($E$238:E345))</f>
        <v>97</v>
      </c>
      <c r="B345" s="167" t="s">
        <v>198</v>
      </c>
      <c r="C345" s="165" t="s">
        <v>2748</v>
      </c>
      <c r="D345" s="165" t="s">
        <v>184</v>
      </c>
      <c r="E345" s="45">
        <v>139090.9090909091</v>
      </c>
      <c r="F345" s="107">
        <v>139090.9090909091</v>
      </c>
      <c r="G345" s="125">
        <f t="shared" si="12"/>
        <v>0</v>
      </c>
      <c r="H345" s="241"/>
    </row>
    <row r="346" spans="1:8" ht="19.5">
      <c r="A346" s="3">
        <f>IF(E346="","",COUNTA($E$238:E346))</f>
        <v>98</v>
      </c>
      <c r="B346" s="167" t="s">
        <v>2718</v>
      </c>
      <c r="C346" s="165" t="s">
        <v>3082</v>
      </c>
      <c r="D346" s="165" t="s">
        <v>89</v>
      </c>
      <c r="E346" s="45">
        <v>191818.1818181818</v>
      </c>
      <c r="F346" s="107">
        <v>191818.1818181818</v>
      </c>
      <c r="G346" s="125">
        <f t="shared" si="12"/>
        <v>0</v>
      </c>
      <c r="H346" s="241"/>
    </row>
    <row r="347" spans="1:8" ht="19.5">
      <c r="A347" s="3">
        <f>IF(E347="","",COUNTA($E$238:E347))</f>
        <v>99</v>
      </c>
      <c r="B347" s="167" t="s">
        <v>2719</v>
      </c>
      <c r="C347" s="165" t="s">
        <v>3082</v>
      </c>
      <c r="D347" s="165" t="s">
        <v>90</v>
      </c>
      <c r="E347" s="45">
        <v>232727.2727272727</v>
      </c>
      <c r="F347" s="107">
        <v>232727.2727272727</v>
      </c>
      <c r="G347" s="125">
        <f t="shared" si="12"/>
        <v>0</v>
      </c>
      <c r="H347" s="241"/>
    </row>
    <row r="348" spans="1:8" ht="19.5">
      <c r="A348" s="3">
        <f>IF(E348="","",COUNTA($E$238:E348))</f>
        <v>100</v>
      </c>
      <c r="B348" s="167" t="s">
        <v>2720</v>
      </c>
      <c r="C348" s="165" t="s">
        <v>3082</v>
      </c>
      <c r="D348" s="165" t="s">
        <v>94</v>
      </c>
      <c r="E348" s="45">
        <v>221818.1818181818</v>
      </c>
      <c r="F348" s="107">
        <v>221818.1818181818</v>
      </c>
      <c r="G348" s="125">
        <f t="shared" si="12"/>
        <v>0</v>
      </c>
      <c r="H348" s="241"/>
    </row>
    <row r="349" spans="1:8" ht="33">
      <c r="A349" s="3">
        <f>IF(E349="","",COUNTA($E$238:E349))</f>
        <v>101</v>
      </c>
      <c r="B349" s="167" t="s">
        <v>2721</v>
      </c>
      <c r="C349" s="165" t="s">
        <v>1135</v>
      </c>
      <c r="D349" s="165" t="s">
        <v>83</v>
      </c>
      <c r="E349" s="45">
        <v>149090.9090909091</v>
      </c>
      <c r="F349" s="107">
        <v>149090.9090909091</v>
      </c>
      <c r="G349" s="125">
        <f t="shared" si="12"/>
        <v>0</v>
      </c>
      <c r="H349" s="241"/>
    </row>
    <row r="350" spans="1:8" ht="33">
      <c r="A350" s="3">
        <f>IF(E350="","",COUNTA($E$238:E350))</f>
        <v>102</v>
      </c>
      <c r="B350" s="167" t="s">
        <v>2722</v>
      </c>
      <c r="C350" s="165" t="s">
        <v>1135</v>
      </c>
      <c r="D350" s="165" t="s">
        <v>83</v>
      </c>
      <c r="E350" s="45">
        <v>160000</v>
      </c>
      <c r="F350" s="107">
        <v>160000</v>
      </c>
      <c r="G350" s="125">
        <f t="shared" si="12"/>
        <v>0</v>
      </c>
      <c r="H350" s="241"/>
    </row>
    <row r="351" spans="1:8" ht="33">
      <c r="A351" s="3">
        <f>IF(E351="","",COUNTA($E$238:E351))</f>
        <v>103</v>
      </c>
      <c r="B351" s="167" t="s">
        <v>2725</v>
      </c>
      <c r="C351" s="165" t="s">
        <v>1135</v>
      </c>
      <c r="D351" s="165" t="s">
        <v>84</v>
      </c>
      <c r="E351" s="45">
        <v>201818.1818181818</v>
      </c>
      <c r="F351" s="107">
        <v>201818.1818181818</v>
      </c>
      <c r="G351" s="125">
        <f t="shared" si="12"/>
        <v>0</v>
      </c>
      <c r="H351" s="241"/>
    </row>
    <row r="352" spans="1:8" ht="33">
      <c r="A352" s="3">
        <f>IF(E352="","",COUNTA($E$238:E352))</f>
        <v>104</v>
      </c>
      <c r="B352" s="167" t="s">
        <v>2726</v>
      </c>
      <c r="C352" s="165" t="s">
        <v>1135</v>
      </c>
      <c r="D352" s="165" t="s">
        <v>84</v>
      </c>
      <c r="E352" s="45">
        <v>215454.54545454544</v>
      </c>
      <c r="F352" s="107">
        <v>215454.54545454544</v>
      </c>
      <c r="G352" s="125">
        <f t="shared" si="12"/>
        <v>0</v>
      </c>
      <c r="H352" s="241"/>
    </row>
    <row r="353" spans="1:8" ht="16.5">
      <c r="A353" s="3">
        <f>IF(E353="","",COUNTA($E$238:E353))</f>
        <v>105</v>
      </c>
      <c r="B353" s="168" t="s">
        <v>199</v>
      </c>
      <c r="C353" s="165" t="s">
        <v>1135</v>
      </c>
      <c r="D353" s="165" t="s">
        <v>88</v>
      </c>
      <c r="E353" s="45">
        <v>106364</v>
      </c>
      <c r="F353" s="107">
        <v>103636.36363636363</v>
      </c>
      <c r="G353" s="125">
        <f t="shared" si="12"/>
        <v>0.026319298245614076</v>
      </c>
      <c r="H353" s="241"/>
    </row>
    <row r="354" spans="1:9" ht="16.5">
      <c r="A354" s="3">
        <f>IF(E354="","",COUNTA($E$238:E354))</f>
        <v>106</v>
      </c>
      <c r="B354" s="168" t="s">
        <v>2729</v>
      </c>
      <c r="C354" s="165" t="s">
        <v>1135</v>
      </c>
      <c r="D354" s="165" t="s">
        <v>92</v>
      </c>
      <c r="E354" s="45">
        <v>333636.3636363636</v>
      </c>
      <c r="F354" s="107">
        <v>333636.3636363636</v>
      </c>
      <c r="G354" s="125">
        <f t="shared" si="12"/>
        <v>0</v>
      </c>
      <c r="H354" s="241"/>
      <c r="I354" s="45"/>
    </row>
    <row r="355" spans="1:9" ht="16.5">
      <c r="A355" s="3">
        <f>IF(E355="","",COUNTA($E$238:E355))</f>
        <v>107</v>
      </c>
      <c r="B355" s="168" t="s">
        <v>2730</v>
      </c>
      <c r="C355" s="165" t="s">
        <v>1135</v>
      </c>
      <c r="D355" s="165" t="s">
        <v>91</v>
      </c>
      <c r="E355" s="45">
        <v>409090.90909090906</v>
      </c>
      <c r="F355" s="107">
        <v>409090.90909090906</v>
      </c>
      <c r="G355" s="125">
        <f t="shared" si="12"/>
        <v>0</v>
      </c>
      <c r="H355" s="241"/>
      <c r="I355" s="45"/>
    </row>
    <row r="356" spans="1:8" ht="17.25">
      <c r="A356" s="3">
        <f>IF(E356="","",COUNTA($E$238:E356))</f>
      </c>
      <c r="B356" s="35" t="s">
        <v>2788</v>
      </c>
      <c r="C356" s="108"/>
      <c r="E356" s="45"/>
      <c r="F356" s="107"/>
      <c r="G356" s="125"/>
      <c r="H356" s="241"/>
    </row>
    <row r="357" spans="1:8" ht="16.5">
      <c r="A357" s="3">
        <f>IF(E357="","",COUNTA($E$238:E357))</f>
        <v>108</v>
      </c>
      <c r="B357" s="167" t="s">
        <v>200</v>
      </c>
      <c r="C357" s="165" t="s">
        <v>2748</v>
      </c>
      <c r="D357" s="165" t="s">
        <v>86</v>
      </c>
      <c r="E357" s="45">
        <v>115454.54545454544</v>
      </c>
      <c r="F357" s="107">
        <v>115454.54545454544</v>
      </c>
      <c r="G357" s="125">
        <f t="shared" si="12"/>
        <v>0</v>
      </c>
      <c r="H357" s="241"/>
    </row>
    <row r="358" spans="1:8" ht="33">
      <c r="A358" s="3">
        <f>IF(E358="","",COUNTA($E$238:E358))</f>
        <v>109</v>
      </c>
      <c r="B358" s="167" t="s">
        <v>201</v>
      </c>
      <c r="C358" s="165" t="s">
        <v>1135</v>
      </c>
      <c r="D358" s="165" t="s">
        <v>85</v>
      </c>
      <c r="E358" s="45">
        <v>106364</v>
      </c>
      <c r="F358" s="107">
        <v>105454.54545454544</v>
      </c>
      <c r="G358" s="125">
        <f t="shared" si="12"/>
        <v>0.00862413793103461</v>
      </c>
      <c r="H358" s="241"/>
    </row>
    <row r="359" spans="1:8" ht="33">
      <c r="A359" s="3">
        <f>IF(E359="","",COUNTA($E$238:E359))</f>
        <v>110</v>
      </c>
      <c r="B359" s="167" t="s">
        <v>2731</v>
      </c>
      <c r="C359" s="165" t="s">
        <v>1135</v>
      </c>
      <c r="D359" s="165" t="s">
        <v>85</v>
      </c>
      <c r="E359" s="45">
        <v>109090.90909090909</v>
      </c>
      <c r="F359" s="107">
        <v>109090.90909090909</v>
      </c>
      <c r="G359" s="125">
        <f t="shared" si="12"/>
        <v>0</v>
      </c>
      <c r="H359" s="241"/>
    </row>
    <row r="360" spans="1:8" ht="33">
      <c r="A360" s="3">
        <f>IF(E360="","",COUNTA($E$238:E360))</f>
        <v>111</v>
      </c>
      <c r="B360" s="167" t="s">
        <v>202</v>
      </c>
      <c r="C360" s="165" t="s">
        <v>1135</v>
      </c>
      <c r="D360" s="165" t="s">
        <v>85</v>
      </c>
      <c r="E360" s="45">
        <v>126363.63636363635</v>
      </c>
      <c r="F360" s="107">
        <v>126363.63636363635</v>
      </c>
      <c r="G360" s="125">
        <f t="shared" si="12"/>
        <v>0</v>
      </c>
      <c r="H360" s="241"/>
    </row>
    <row r="361" spans="1:8" ht="16.5">
      <c r="A361" s="3">
        <f>IF(E361="","",COUNTA($E$238:E361))</f>
        <v>112</v>
      </c>
      <c r="B361" s="168" t="s">
        <v>3083</v>
      </c>
      <c r="C361" s="165" t="s">
        <v>1135</v>
      </c>
      <c r="D361" s="165" t="s">
        <v>85</v>
      </c>
      <c r="E361" s="45">
        <v>119090.90909090909</v>
      </c>
      <c r="F361" s="107">
        <v>119090.90909090909</v>
      </c>
      <c r="G361" s="125">
        <f t="shared" si="12"/>
        <v>0</v>
      </c>
      <c r="H361" s="241"/>
    </row>
    <row r="362" spans="1:8" ht="16.5">
      <c r="A362" s="3">
        <f>IF(E362="","",COUNTA($E$238:E362))</f>
        <v>113</v>
      </c>
      <c r="B362" s="168" t="s">
        <v>2733</v>
      </c>
      <c r="C362" s="165" t="s">
        <v>1135</v>
      </c>
      <c r="D362" s="165" t="s">
        <v>93</v>
      </c>
      <c r="E362" s="45">
        <v>134545.45454545453</v>
      </c>
      <c r="F362" s="107">
        <v>134545.45454545453</v>
      </c>
      <c r="G362" s="125">
        <f t="shared" si="12"/>
        <v>0</v>
      </c>
      <c r="H362" s="241"/>
    </row>
    <row r="363" spans="1:8" ht="16.5">
      <c r="A363" s="3">
        <f>IF(E363="","",COUNTA($E$238:E363))</f>
        <v>114</v>
      </c>
      <c r="B363" s="168" t="s">
        <v>2734</v>
      </c>
      <c r="C363" s="165" t="s">
        <v>1135</v>
      </c>
      <c r="D363" s="165" t="s">
        <v>93</v>
      </c>
      <c r="E363" s="45">
        <v>163636.36363636362</v>
      </c>
      <c r="F363" s="107">
        <v>163636.36363636362</v>
      </c>
      <c r="G363" s="125">
        <f t="shared" si="12"/>
        <v>0</v>
      </c>
      <c r="H363" s="241"/>
    </row>
    <row r="364" spans="1:8" ht="33">
      <c r="A364" s="3">
        <f>IF(E364="","",COUNTA($E$238:E364))</f>
        <v>115</v>
      </c>
      <c r="B364" s="167" t="s">
        <v>2735</v>
      </c>
      <c r="C364" s="165" t="s">
        <v>1135</v>
      </c>
      <c r="D364" s="165" t="s">
        <v>83</v>
      </c>
      <c r="E364" s="45">
        <v>108181.81818181818</v>
      </c>
      <c r="F364" s="107">
        <v>108181.81818181818</v>
      </c>
      <c r="G364" s="125">
        <f t="shared" si="12"/>
        <v>0</v>
      </c>
      <c r="H364" s="241"/>
    </row>
    <row r="365" spans="1:8" ht="33">
      <c r="A365" s="3">
        <f>IF(E365="","",COUNTA($E$238:E365))</f>
        <v>116</v>
      </c>
      <c r="B365" s="167" t="s">
        <v>2736</v>
      </c>
      <c r="C365" s="165" t="s">
        <v>1135</v>
      </c>
      <c r="D365" s="165" t="s">
        <v>83</v>
      </c>
      <c r="E365" s="45">
        <v>114545.45454545453</v>
      </c>
      <c r="F365" s="107">
        <v>114545.45454545453</v>
      </c>
      <c r="G365" s="125">
        <f t="shared" si="12"/>
        <v>0</v>
      </c>
      <c r="H365" s="241"/>
    </row>
    <row r="366" spans="1:8" ht="33">
      <c r="A366" s="3">
        <f>IF(E366="","",COUNTA($E$238:E366))</f>
        <v>117</v>
      </c>
      <c r="B366" s="167" t="s">
        <v>2737</v>
      </c>
      <c r="C366" s="165" t="s">
        <v>1135</v>
      </c>
      <c r="D366" s="165" t="s">
        <v>83</v>
      </c>
      <c r="E366" s="45">
        <v>114545.45454545453</v>
      </c>
      <c r="F366" s="107">
        <v>114545.45454545453</v>
      </c>
      <c r="G366" s="125">
        <f t="shared" si="12"/>
        <v>0</v>
      </c>
      <c r="H366" s="241"/>
    </row>
    <row r="367" spans="1:9" ht="33">
      <c r="A367" s="3">
        <f>IF(E367="","",COUNTA($E$238:E367))</f>
        <v>118</v>
      </c>
      <c r="B367" s="167" t="s">
        <v>2738</v>
      </c>
      <c r="C367" s="165" t="s">
        <v>1135</v>
      </c>
      <c r="D367" s="165" t="s">
        <v>83</v>
      </c>
      <c r="E367" s="45">
        <v>118181.81818181818</v>
      </c>
      <c r="F367" s="107">
        <v>118181.81818181818</v>
      </c>
      <c r="G367" s="125">
        <f t="shared" si="12"/>
        <v>0</v>
      </c>
      <c r="H367" s="241"/>
      <c r="I367" s="45"/>
    </row>
    <row r="368" spans="1:9" ht="33">
      <c r="A368" s="3">
        <f>IF(E368="","",COUNTA($E$238:E368))</f>
        <v>119</v>
      </c>
      <c r="B368" s="167" t="s">
        <v>3084</v>
      </c>
      <c r="C368" s="165" t="s">
        <v>1135</v>
      </c>
      <c r="D368" s="165" t="s">
        <v>83</v>
      </c>
      <c r="E368" s="45">
        <v>149091</v>
      </c>
      <c r="F368" s="107">
        <v>147272.72727272726</v>
      </c>
      <c r="G368" s="125">
        <f t="shared" si="12"/>
        <v>0.012346296296296352</v>
      </c>
      <c r="H368" s="241"/>
      <c r="I368" s="45"/>
    </row>
    <row r="369" spans="1:9" ht="33">
      <c r="A369" s="3">
        <f>IF(E369="","",COUNTA($E$238:E369))</f>
        <v>120</v>
      </c>
      <c r="B369" s="167" t="s">
        <v>3085</v>
      </c>
      <c r="C369" s="165" t="s">
        <v>1135</v>
      </c>
      <c r="D369" s="165" t="s">
        <v>83</v>
      </c>
      <c r="E369" s="45">
        <v>163636</v>
      </c>
      <c r="F369" s="107">
        <v>160909.09090909088</v>
      </c>
      <c r="G369" s="125">
        <f t="shared" si="12"/>
        <v>0.016946892655367397</v>
      </c>
      <c r="H369" s="241"/>
      <c r="I369" s="45"/>
    </row>
    <row r="370" spans="1:9" ht="16.5">
      <c r="A370" s="3">
        <f>IF(E370="","",COUNTA($E$238:E370))</f>
        <v>121</v>
      </c>
      <c r="B370" s="167" t="s">
        <v>203</v>
      </c>
      <c r="C370" s="165" t="s">
        <v>1135</v>
      </c>
      <c r="D370" s="165" t="s">
        <v>83</v>
      </c>
      <c r="E370" s="45">
        <v>180000</v>
      </c>
      <c r="F370" s="107">
        <v>175454.54545454544</v>
      </c>
      <c r="G370" s="125">
        <f t="shared" si="12"/>
        <v>0.025906735751295415</v>
      </c>
      <c r="H370" s="241"/>
      <c r="I370" s="45"/>
    </row>
    <row r="371" spans="1:9" ht="16.5">
      <c r="A371" s="3">
        <f>IF(E371="","",COUNTA($E$238:E371))</f>
        <v>122</v>
      </c>
      <c r="B371" s="167" t="s">
        <v>204</v>
      </c>
      <c r="C371" s="165" t="s">
        <v>1135</v>
      </c>
      <c r="D371" s="165" t="s">
        <v>84</v>
      </c>
      <c r="E371" s="45">
        <v>203636</v>
      </c>
      <c r="F371" s="107">
        <v>201818.1818181818</v>
      </c>
      <c r="G371" s="125">
        <f t="shared" si="12"/>
        <v>0.009007207207207326</v>
      </c>
      <c r="H371" s="241"/>
      <c r="I371" s="45"/>
    </row>
    <row r="372" spans="1:9" ht="16.5">
      <c r="A372" s="3">
        <f>IF(E372="","",COUNTA($E$238:E372))</f>
        <v>123</v>
      </c>
      <c r="B372" s="167" t="s">
        <v>204</v>
      </c>
      <c r="C372" s="165" t="s">
        <v>1135</v>
      </c>
      <c r="D372" s="165" t="s">
        <v>84</v>
      </c>
      <c r="E372" s="45">
        <v>214545</v>
      </c>
      <c r="F372" s="107">
        <v>211818.1818181818</v>
      </c>
      <c r="G372" s="125">
        <f t="shared" si="12"/>
        <v>0.012873390557940028</v>
      </c>
      <c r="H372" s="241"/>
      <c r="I372" s="45"/>
    </row>
    <row r="373" spans="1:8" ht="17.25">
      <c r="A373" s="3">
        <f>IF(E373="","",COUNTA($E$238:E373))</f>
      </c>
      <c r="B373" s="35" t="s">
        <v>2789</v>
      </c>
      <c r="C373" s="108"/>
      <c r="E373" s="109"/>
      <c r="F373" s="112"/>
      <c r="G373" s="125"/>
      <c r="H373" s="241"/>
    </row>
    <row r="374" spans="1:8" ht="16.5">
      <c r="A374" s="3">
        <f>IF(E374="","",COUNTA($E$238:E374))</f>
        <v>124</v>
      </c>
      <c r="B374" s="167" t="s">
        <v>205</v>
      </c>
      <c r="C374" s="165" t="s">
        <v>2748</v>
      </c>
      <c r="D374" s="165" t="s">
        <v>88</v>
      </c>
      <c r="E374" s="45">
        <v>90909.0909090909</v>
      </c>
      <c r="F374" s="107">
        <v>90909.0909090909</v>
      </c>
      <c r="G374" s="125">
        <f t="shared" si="12"/>
        <v>0</v>
      </c>
      <c r="H374" s="241"/>
    </row>
    <row r="375" spans="1:8" ht="16.5">
      <c r="A375" s="3">
        <f>IF(E375="","",COUNTA($E$238:E375))</f>
        <v>125</v>
      </c>
      <c r="B375" s="167" t="s">
        <v>206</v>
      </c>
      <c r="C375" s="165" t="s">
        <v>2748</v>
      </c>
      <c r="D375" s="165" t="s">
        <v>88</v>
      </c>
      <c r="E375" s="45">
        <v>89090.90909090909</v>
      </c>
      <c r="F375" s="107">
        <v>89090.90909090909</v>
      </c>
      <c r="G375" s="125">
        <f t="shared" si="12"/>
        <v>0</v>
      </c>
      <c r="H375" s="241"/>
    </row>
    <row r="376" spans="1:8" ht="16.5">
      <c r="A376" s="3">
        <f>IF(E376="","",COUNTA($E$238:E376))</f>
        <v>126</v>
      </c>
      <c r="B376" s="167" t="s">
        <v>207</v>
      </c>
      <c r="C376" s="165" t="s">
        <v>2748</v>
      </c>
      <c r="D376" s="165" t="s">
        <v>88</v>
      </c>
      <c r="E376" s="45">
        <v>102727.27272727272</v>
      </c>
      <c r="F376" s="107">
        <v>102727.27272727272</v>
      </c>
      <c r="G376" s="125">
        <f t="shared" si="12"/>
        <v>0</v>
      </c>
      <c r="H376" s="241"/>
    </row>
    <row r="377" spans="1:8" ht="33">
      <c r="A377" s="3">
        <f>IF(E377="","",COUNTA($E$238:E377))</f>
        <v>127</v>
      </c>
      <c r="B377" s="167" t="s">
        <v>2743</v>
      </c>
      <c r="C377" s="165" t="s">
        <v>3082</v>
      </c>
      <c r="D377" s="165" t="s">
        <v>83</v>
      </c>
      <c r="E377" s="45">
        <v>160909.09090909088</v>
      </c>
      <c r="F377" s="107">
        <v>160909.09090909088</v>
      </c>
      <c r="G377" s="125">
        <f t="shared" si="12"/>
        <v>0</v>
      </c>
      <c r="H377" s="241"/>
    </row>
    <row r="378" spans="1:8" ht="33">
      <c r="A378" s="3">
        <f>IF(E378="","",COUNTA($E$238:E378))</f>
        <v>128</v>
      </c>
      <c r="B378" s="167" t="s">
        <v>2744</v>
      </c>
      <c r="C378" s="165" t="s">
        <v>3082</v>
      </c>
      <c r="D378" s="165" t="s">
        <v>83</v>
      </c>
      <c r="E378" s="45">
        <v>145454.54545454544</v>
      </c>
      <c r="F378" s="107">
        <v>145454.54545454544</v>
      </c>
      <c r="G378" s="125">
        <f t="shared" si="12"/>
        <v>0</v>
      </c>
      <c r="H378" s="241"/>
    </row>
    <row r="379" spans="1:8" ht="33">
      <c r="A379" s="3">
        <f>IF(E379="","",COUNTA($E$238:E379))</f>
        <v>129</v>
      </c>
      <c r="B379" s="167" t="s">
        <v>2745</v>
      </c>
      <c r="C379" s="165" t="s">
        <v>1135</v>
      </c>
      <c r="D379" s="165" t="s">
        <v>93</v>
      </c>
      <c r="E379" s="6">
        <v>161818.1818181818</v>
      </c>
      <c r="F379" s="94">
        <v>161818.1818181818</v>
      </c>
      <c r="G379" s="125">
        <f t="shared" si="12"/>
        <v>0</v>
      </c>
      <c r="H379" s="241"/>
    </row>
    <row r="380" spans="1:8" ht="33">
      <c r="A380" s="3">
        <f>IF(E380="","",COUNTA($E$238:E380))</f>
        <v>130</v>
      </c>
      <c r="B380" s="167" t="s">
        <v>2746</v>
      </c>
      <c r="C380" s="165" t="s">
        <v>1135</v>
      </c>
      <c r="D380" s="165" t="s">
        <v>93</v>
      </c>
      <c r="E380" s="6">
        <v>140000</v>
      </c>
      <c r="F380" s="94">
        <v>140000</v>
      </c>
      <c r="G380" s="125">
        <f t="shared" si="12"/>
        <v>0</v>
      </c>
      <c r="H380" s="241"/>
    </row>
    <row r="381" spans="1:8" ht="33">
      <c r="A381" s="3">
        <f>IF(E381="","",COUNTA($E$238:E381))</f>
        <v>131</v>
      </c>
      <c r="B381" s="167" t="s">
        <v>2747</v>
      </c>
      <c r="C381" s="165" t="s">
        <v>2748</v>
      </c>
      <c r="D381" s="165" t="s">
        <v>95</v>
      </c>
      <c r="E381" s="6">
        <v>197272.72727272726</v>
      </c>
      <c r="F381" s="94">
        <v>197272.72727272726</v>
      </c>
      <c r="G381" s="125">
        <f t="shared" si="12"/>
        <v>0</v>
      </c>
      <c r="H381" s="241"/>
    </row>
    <row r="382" spans="1:9" ht="33">
      <c r="A382" s="3">
        <f>IF(E382="","",COUNTA($E$238:E382))</f>
        <v>132</v>
      </c>
      <c r="B382" s="167" t="s">
        <v>210</v>
      </c>
      <c r="C382" s="165" t="s">
        <v>3082</v>
      </c>
      <c r="D382" s="165" t="s">
        <v>84</v>
      </c>
      <c r="E382" s="6">
        <v>209999.99999999997</v>
      </c>
      <c r="F382" s="94">
        <v>209999.99999999997</v>
      </c>
      <c r="G382" s="125">
        <f t="shared" si="12"/>
        <v>0</v>
      </c>
      <c r="H382" s="241"/>
      <c r="I382" s="45"/>
    </row>
    <row r="383" spans="1:9" ht="19.5">
      <c r="A383" s="3">
        <f>IF(E383="","",COUNTA($E$238:E383))</f>
        <v>133</v>
      </c>
      <c r="B383" s="167" t="s">
        <v>211</v>
      </c>
      <c r="C383" s="165" t="s">
        <v>3082</v>
      </c>
      <c r="D383" s="165" t="s">
        <v>84</v>
      </c>
      <c r="E383" s="6">
        <v>200909.09090909088</v>
      </c>
      <c r="F383" s="94">
        <v>200909.09090909088</v>
      </c>
      <c r="G383" s="125">
        <f t="shared" si="12"/>
        <v>0</v>
      </c>
      <c r="H383" s="241"/>
      <c r="I383" s="45"/>
    </row>
    <row r="384" spans="1:9" ht="33">
      <c r="A384" s="3">
        <f>IF(E384="","",COUNTA($E$238:E384))</f>
        <v>134</v>
      </c>
      <c r="B384" s="167" t="s">
        <v>2749</v>
      </c>
      <c r="C384" s="165" t="s">
        <v>3082</v>
      </c>
      <c r="D384" s="165" t="s">
        <v>84</v>
      </c>
      <c r="E384" s="6">
        <v>196363.63636363635</v>
      </c>
      <c r="F384" s="94">
        <v>196363.63636363635</v>
      </c>
      <c r="G384" s="125">
        <f t="shared" si="12"/>
        <v>0</v>
      </c>
      <c r="H384" s="241"/>
      <c r="I384" s="45"/>
    </row>
    <row r="385" spans="1:8" ht="17.25">
      <c r="A385" s="3">
        <f>IF(E385="","",COUNTA($E$238:E385))</f>
      </c>
      <c r="B385" s="35" t="s">
        <v>2750</v>
      </c>
      <c r="C385" s="108"/>
      <c r="E385" s="109"/>
      <c r="F385" s="112"/>
      <c r="G385" s="125"/>
      <c r="H385" s="241"/>
    </row>
    <row r="386" spans="1:8" ht="16.5">
      <c r="A386" s="3">
        <f>IF(E386="","",COUNTA($E$238:E386))</f>
        <v>135</v>
      </c>
      <c r="B386" s="167" t="s">
        <v>212</v>
      </c>
      <c r="C386" s="165" t="s">
        <v>2748</v>
      </c>
      <c r="D386" s="165" t="s">
        <v>87</v>
      </c>
      <c r="E386" s="45">
        <v>148182</v>
      </c>
      <c r="F386" s="107">
        <v>146363.63636363635</v>
      </c>
      <c r="G386" s="125">
        <f aca="true" t="shared" si="13" ref="G386:G424">(E386-F386)/F386</f>
        <v>0.012423602484472123</v>
      </c>
      <c r="H386" s="241"/>
    </row>
    <row r="387" spans="1:8" ht="33">
      <c r="A387" s="3">
        <f>IF(E387="","",COUNTA($E$238:E387))</f>
        <v>136</v>
      </c>
      <c r="B387" s="167" t="s">
        <v>213</v>
      </c>
      <c r="C387" s="165" t="s">
        <v>2748</v>
      </c>
      <c r="D387" s="165" t="s">
        <v>87</v>
      </c>
      <c r="E387" s="45">
        <v>156364</v>
      </c>
      <c r="F387" s="107">
        <v>151818.1818181818</v>
      </c>
      <c r="G387" s="125">
        <f t="shared" si="13"/>
        <v>0.029942514970060043</v>
      </c>
      <c r="H387" s="241"/>
    </row>
    <row r="388" spans="1:8" ht="33">
      <c r="A388" s="3">
        <f>IF(E388="","",COUNTA($E$238:E388))</f>
        <v>137</v>
      </c>
      <c r="B388" s="167" t="s">
        <v>214</v>
      </c>
      <c r="C388" s="165" t="s">
        <v>2748</v>
      </c>
      <c r="D388" s="165" t="s">
        <v>88</v>
      </c>
      <c r="E388" s="45">
        <v>174545</v>
      </c>
      <c r="F388" s="107">
        <v>164545.45454545453</v>
      </c>
      <c r="G388" s="125">
        <f t="shared" si="13"/>
        <v>0.0607707182320443</v>
      </c>
      <c r="H388" s="241"/>
    </row>
    <row r="389" spans="1:8" ht="16.5">
      <c r="A389" s="3">
        <f>IF(E389="","",COUNTA($E$238:E389))</f>
        <v>138</v>
      </c>
      <c r="B389" s="167" t="s">
        <v>215</v>
      </c>
      <c r="C389" s="165" t="s">
        <v>1135</v>
      </c>
      <c r="D389" s="165" t="s">
        <v>85</v>
      </c>
      <c r="E389" s="45">
        <v>176364</v>
      </c>
      <c r="F389" s="107">
        <v>176363.63636363635</v>
      </c>
      <c r="G389" s="125">
        <f t="shared" si="13"/>
        <v>2.061855670163101E-06</v>
      </c>
      <c r="H389" s="241"/>
    </row>
    <row r="390" spans="1:8" ht="16.5">
      <c r="A390" s="3">
        <f>IF(E390="","",COUNTA($E$238:E390))</f>
        <v>139</v>
      </c>
      <c r="B390" s="167" t="s">
        <v>3086</v>
      </c>
      <c r="C390" s="165" t="s">
        <v>1135</v>
      </c>
      <c r="D390" s="165" t="s">
        <v>85</v>
      </c>
      <c r="E390" s="45">
        <v>221818.1818181818</v>
      </c>
      <c r="F390" s="107">
        <v>221818.1818181818</v>
      </c>
      <c r="G390" s="125">
        <f t="shared" si="13"/>
        <v>0</v>
      </c>
      <c r="H390" s="241"/>
    </row>
    <row r="391" spans="1:9" ht="33">
      <c r="A391" s="3">
        <f>IF(E391="","",COUNTA($E$238:E391))</f>
        <v>140</v>
      </c>
      <c r="B391" s="167" t="s">
        <v>3087</v>
      </c>
      <c r="C391" s="165" t="s">
        <v>1135</v>
      </c>
      <c r="D391" s="165" t="s">
        <v>83</v>
      </c>
      <c r="E391" s="6">
        <v>197272.727272727</v>
      </c>
      <c r="F391" s="94">
        <v>197272.727272727</v>
      </c>
      <c r="G391" s="125">
        <f t="shared" si="13"/>
        <v>0</v>
      </c>
      <c r="H391" s="241"/>
      <c r="I391" s="45"/>
    </row>
    <row r="392" spans="1:9" ht="33">
      <c r="A392" s="3">
        <f>IF(E392="","",COUNTA($E$238:E392))</f>
        <v>141</v>
      </c>
      <c r="B392" s="167" t="s">
        <v>3088</v>
      </c>
      <c r="C392" s="165" t="s">
        <v>1135</v>
      </c>
      <c r="D392" s="165" t="s">
        <v>83</v>
      </c>
      <c r="E392" s="6">
        <v>207272.72727272726</v>
      </c>
      <c r="F392" s="94">
        <v>207272.72727272726</v>
      </c>
      <c r="G392" s="125">
        <f t="shared" si="13"/>
        <v>0</v>
      </c>
      <c r="H392" s="241"/>
      <c r="I392" s="45"/>
    </row>
    <row r="393" spans="1:9" ht="17.25">
      <c r="A393" s="3">
        <f>IF(E393="","",COUNTA($E$238:E393))</f>
      </c>
      <c r="B393" s="47" t="s">
        <v>216</v>
      </c>
      <c r="C393" s="20"/>
      <c r="E393" s="6"/>
      <c r="F393" s="94"/>
      <c r="G393" s="125"/>
      <c r="H393" s="241"/>
      <c r="I393" s="110"/>
    </row>
    <row r="394" spans="1:9" ht="33">
      <c r="A394" s="3">
        <f>IF(E394="","",COUNTA($E$238:E394))</f>
        <v>142</v>
      </c>
      <c r="B394" s="167" t="s">
        <v>217</v>
      </c>
      <c r="C394" s="165" t="s">
        <v>1135</v>
      </c>
      <c r="D394" s="165" t="s">
        <v>84</v>
      </c>
      <c r="E394" s="6">
        <v>267272.72727272724</v>
      </c>
      <c r="F394" s="94">
        <v>267272.72727272724</v>
      </c>
      <c r="G394" s="125">
        <f t="shared" si="13"/>
        <v>0</v>
      </c>
      <c r="H394" s="241"/>
      <c r="I394" s="45"/>
    </row>
    <row r="395" spans="1:9" ht="33">
      <c r="A395" s="3">
        <f>IF(E395="","",COUNTA($E$238:E395))</f>
        <v>143</v>
      </c>
      <c r="B395" s="167" t="s">
        <v>218</v>
      </c>
      <c r="C395" s="165" t="s">
        <v>1135</v>
      </c>
      <c r="D395" s="165" t="s">
        <v>84</v>
      </c>
      <c r="E395" s="6">
        <v>221818.1818181818</v>
      </c>
      <c r="F395" s="94">
        <v>221818.1818181818</v>
      </c>
      <c r="G395" s="125">
        <f t="shared" si="13"/>
        <v>0</v>
      </c>
      <c r="H395" s="241"/>
      <c r="I395" s="45"/>
    </row>
    <row r="396" spans="1:9" ht="33">
      <c r="A396" s="3">
        <f>IF(E396="","",COUNTA($E$238:E396))</f>
        <v>144</v>
      </c>
      <c r="B396" s="167" t="s">
        <v>219</v>
      </c>
      <c r="C396" s="165" t="s">
        <v>1135</v>
      </c>
      <c r="D396" s="165" t="s">
        <v>83</v>
      </c>
      <c r="E396" s="6">
        <v>244545.45454545453</v>
      </c>
      <c r="F396" s="94">
        <v>244545.45454545453</v>
      </c>
      <c r="G396" s="125">
        <f t="shared" si="13"/>
        <v>0</v>
      </c>
      <c r="H396" s="241"/>
      <c r="I396" s="45"/>
    </row>
    <row r="397" spans="1:9" ht="33">
      <c r="A397" s="3">
        <f>IF(E397="","",COUNTA($E$238:E397))</f>
        <v>145</v>
      </c>
      <c r="B397" s="167" t="s">
        <v>220</v>
      </c>
      <c r="C397" s="165" t="s">
        <v>1135</v>
      </c>
      <c r="D397" s="165" t="s">
        <v>83</v>
      </c>
      <c r="E397" s="6">
        <v>197272.72727272726</v>
      </c>
      <c r="F397" s="94">
        <v>197272.72727272726</v>
      </c>
      <c r="G397" s="125">
        <f t="shared" si="13"/>
        <v>0</v>
      </c>
      <c r="H397" s="241"/>
      <c r="I397" s="45"/>
    </row>
    <row r="398" spans="1:9" ht="33">
      <c r="A398" s="3">
        <f>IF(E398="","",COUNTA($E$238:E398))</f>
        <v>146</v>
      </c>
      <c r="B398" s="167" t="s">
        <v>221</v>
      </c>
      <c r="C398" s="165" t="s">
        <v>1135</v>
      </c>
      <c r="D398" s="165" t="s">
        <v>84</v>
      </c>
      <c r="E398" s="6">
        <v>217272.72727272726</v>
      </c>
      <c r="F398" s="94">
        <v>217272.72727272726</v>
      </c>
      <c r="G398" s="125">
        <f t="shared" si="13"/>
        <v>0</v>
      </c>
      <c r="H398" s="241"/>
      <c r="I398" s="45"/>
    </row>
    <row r="399" spans="1:9" ht="33">
      <c r="A399" s="3">
        <f>IF(E399="","",COUNTA($E$238:E399))</f>
        <v>147</v>
      </c>
      <c r="B399" s="167" t="s">
        <v>222</v>
      </c>
      <c r="C399" s="165" t="s">
        <v>1135</v>
      </c>
      <c r="D399" s="165" t="s">
        <v>83</v>
      </c>
      <c r="E399" s="6">
        <v>176363.63636363635</v>
      </c>
      <c r="F399" s="94">
        <v>176363.63636363635</v>
      </c>
      <c r="G399" s="125">
        <f t="shared" si="13"/>
        <v>0</v>
      </c>
      <c r="H399" s="241"/>
      <c r="I399" s="45"/>
    </row>
    <row r="400" spans="1:9" ht="17.25">
      <c r="A400" s="3">
        <f>IF(E400="","",COUNTA($E$238:E400))</f>
      </c>
      <c r="B400" s="61" t="s">
        <v>223</v>
      </c>
      <c r="C400" s="20"/>
      <c r="E400" s="6"/>
      <c r="F400" s="94"/>
      <c r="G400" s="125"/>
      <c r="H400" s="241"/>
      <c r="I400" s="111"/>
    </row>
    <row r="401" spans="1:9" ht="16.5">
      <c r="A401" s="3">
        <f>IF(E401="","",COUNTA($E$238:E401))</f>
        <v>148</v>
      </c>
      <c r="B401" s="167" t="s">
        <v>224</v>
      </c>
      <c r="C401" s="165" t="s">
        <v>1135</v>
      </c>
      <c r="D401" s="62" t="s">
        <v>85</v>
      </c>
      <c r="E401" s="6">
        <v>108181.81818181818</v>
      </c>
      <c r="F401" s="94">
        <v>108181.81818181818</v>
      </c>
      <c r="G401" s="125">
        <f t="shared" si="13"/>
        <v>0</v>
      </c>
      <c r="H401" s="241"/>
      <c r="I401" s="45"/>
    </row>
    <row r="402" spans="1:9" ht="16.5">
      <c r="A402" s="3">
        <f>IF(E402="","",COUNTA($E$238:E402))</f>
        <v>149</v>
      </c>
      <c r="B402" s="167" t="s">
        <v>225</v>
      </c>
      <c r="C402" s="165" t="s">
        <v>1135</v>
      </c>
      <c r="D402" s="62" t="s">
        <v>83</v>
      </c>
      <c r="E402" s="6">
        <v>147273</v>
      </c>
      <c r="F402" s="94">
        <v>145454.54545454544</v>
      </c>
      <c r="G402" s="125">
        <f t="shared" si="13"/>
        <v>0.012501875000000093</v>
      </c>
      <c r="H402" s="241"/>
      <c r="I402" s="45"/>
    </row>
    <row r="403" spans="1:9" ht="33">
      <c r="A403" s="3">
        <f>IF(E403="","",COUNTA($E$238:E403))</f>
        <v>150</v>
      </c>
      <c r="B403" s="167" t="s">
        <v>226</v>
      </c>
      <c r="C403" s="165" t="s">
        <v>1135</v>
      </c>
      <c r="D403" s="62" t="s">
        <v>83</v>
      </c>
      <c r="E403" s="6">
        <v>151818</v>
      </c>
      <c r="F403" s="94">
        <v>149090.9090909091</v>
      </c>
      <c r="G403" s="125">
        <f t="shared" si="13"/>
        <v>0.018291463414634165</v>
      </c>
      <c r="H403" s="241"/>
      <c r="I403" s="45"/>
    </row>
    <row r="404" spans="1:9" ht="33">
      <c r="A404" s="3">
        <f>IF(E404="","",COUNTA($E$238:E404))</f>
        <v>151</v>
      </c>
      <c r="B404" s="167" t="s">
        <v>227</v>
      </c>
      <c r="C404" s="165" t="s">
        <v>1116</v>
      </c>
      <c r="D404" s="62" t="s">
        <v>83</v>
      </c>
      <c r="E404" s="6">
        <v>75454.54545454544</v>
      </c>
      <c r="F404" s="94">
        <v>75454.54545454544</v>
      </c>
      <c r="G404" s="125">
        <f t="shared" si="13"/>
        <v>0</v>
      </c>
      <c r="H404" s="241"/>
      <c r="I404" s="45"/>
    </row>
    <row r="405" spans="1:9" ht="33">
      <c r="A405" s="3">
        <f>IF(E405="","",COUNTA($E$238:E405))</f>
        <v>152</v>
      </c>
      <c r="B405" s="167" t="s">
        <v>228</v>
      </c>
      <c r="C405" s="165" t="s">
        <v>1135</v>
      </c>
      <c r="D405" s="62" t="s">
        <v>83</v>
      </c>
      <c r="E405" s="6">
        <v>191818.1818181818</v>
      </c>
      <c r="F405" s="94">
        <v>191818.1818181818</v>
      </c>
      <c r="G405" s="125">
        <f t="shared" si="13"/>
        <v>0</v>
      </c>
      <c r="H405" s="241"/>
      <c r="I405" s="45"/>
    </row>
    <row r="406" spans="1:9" ht="16.5">
      <c r="A406" s="3">
        <f>IF(E406="","",COUNTA($E$238:E406))</f>
        <v>153</v>
      </c>
      <c r="B406" s="167" t="s">
        <v>229</v>
      </c>
      <c r="C406" s="165" t="s">
        <v>1135</v>
      </c>
      <c r="D406" s="62" t="s">
        <v>84</v>
      </c>
      <c r="E406" s="6">
        <v>197273</v>
      </c>
      <c r="F406" s="94">
        <v>190909.09090909088</v>
      </c>
      <c r="G406" s="125">
        <f t="shared" si="13"/>
        <v>0.03333476190476205</v>
      </c>
      <c r="H406" s="241"/>
      <c r="I406" s="45"/>
    </row>
    <row r="407" spans="1:9" ht="33">
      <c r="A407" s="3">
        <f>IF(E407="","",COUNTA($E$238:E407))</f>
        <v>154</v>
      </c>
      <c r="B407" s="167" t="s">
        <v>230</v>
      </c>
      <c r="C407" s="165" t="s">
        <v>1135</v>
      </c>
      <c r="D407" s="62" t="s">
        <v>84</v>
      </c>
      <c r="E407" s="6">
        <v>200909</v>
      </c>
      <c r="F407" s="94">
        <v>197272.72727272726</v>
      </c>
      <c r="G407" s="125">
        <f t="shared" si="13"/>
        <v>0.018432718894009256</v>
      </c>
      <c r="H407" s="241"/>
      <c r="I407" s="45"/>
    </row>
    <row r="408" spans="1:9" ht="16.5">
      <c r="A408" s="3">
        <f>IF(E408="","",COUNTA($E$238:E408))</f>
        <v>155</v>
      </c>
      <c r="B408" s="167" t="s">
        <v>231</v>
      </c>
      <c r="C408" s="165" t="s">
        <v>1135</v>
      </c>
      <c r="D408" s="62" t="s">
        <v>84</v>
      </c>
      <c r="E408" s="6">
        <v>267273</v>
      </c>
      <c r="F408" s="94">
        <v>262727.2727272727</v>
      </c>
      <c r="G408" s="125">
        <f t="shared" si="13"/>
        <v>0.017302076124567557</v>
      </c>
      <c r="H408" s="241"/>
      <c r="I408" s="45"/>
    </row>
    <row r="409" spans="1:9" ht="17.25">
      <c r="A409" s="3">
        <f>IF(E409="","",COUNTA($E$238:E409))</f>
      </c>
      <c r="B409" s="47" t="s">
        <v>232</v>
      </c>
      <c r="C409" s="20"/>
      <c r="E409" s="6"/>
      <c r="F409" s="94"/>
      <c r="G409" s="125"/>
      <c r="H409" s="241"/>
      <c r="I409" s="110"/>
    </row>
    <row r="410" spans="1:9" ht="16.5">
      <c r="A410" s="3">
        <f>IF(E410="","",COUNTA($E$238:E410))</f>
        <v>156</v>
      </c>
      <c r="B410" s="168" t="s">
        <v>233</v>
      </c>
      <c r="C410" s="165" t="s">
        <v>2748</v>
      </c>
      <c r="D410" s="165" t="s">
        <v>86</v>
      </c>
      <c r="E410" s="6">
        <v>64545.45454545454</v>
      </c>
      <c r="F410" s="94">
        <v>64545.45454545454</v>
      </c>
      <c r="G410" s="125">
        <f t="shared" si="13"/>
        <v>0</v>
      </c>
      <c r="H410" s="241"/>
      <c r="I410" s="45"/>
    </row>
    <row r="411" spans="1:9" ht="16.5">
      <c r="A411" s="3">
        <f>IF(E411="","",COUNTA($E$238:E411))</f>
        <v>157</v>
      </c>
      <c r="B411" s="168" t="s">
        <v>234</v>
      </c>
      <c r="C411" s="165" t="s">
        <v>2748</v>
      </c>
      <c r="D411" s="165" t="s">
        <v>86</v>
      </c>
      <c r="E411" s="6">
        <v>120909</v>
      </c>
      <c r="F411" s="94">
        <v>111818.18181818181</v>
      </c>
      <c r="G411" s="125">
        <f t="shared" si="13"/>
        <v>0.0813000000000001</v>
      </c>
      <c r="H411" s="241"/>
      <c r="I411" s="45"/>
    </row>
    <row r="412" spans="1:9" ht="16.5">
      <c r="A412" s="3">
        <f>IF(E412="","",COUNTA($E$238:E412))</f>
        <v>158</v>
      </c>
      <c r="B412" s="168" t="s">
        <v>235</v>
      </c>
      <c r="C412" s="165" t="s">
        <v>2748</v>
      </c>
      <c r="D412" s="165" t="s">
        <v>86</v>
      </c>
      <c r="E412" s="6">
        <v>139091</v>
      </c>
      <c r="F412" s="94">
        <v>129999.99999999999</v>
      </c>
      <c r="G412" s="125">
        <f t="shared" si="13"/>
        <v>0.06993076923076935</v>
      </c>
      <c r="H412" s="241"/>
      <c r="I412" s="45"/>
    </row>
    <row r="413" spans="1:9" ht="16.5">
      <c r="A413" s="3">
        <f>IF(E413="","",COUNTA($E$238:E413))</f>
        <v>159</v>
      </c>
      <c r="B413" s="168" t="s">
        <v>236</v>
      </c>
      <c r="C413" s="165" t="s">
        <v>2748</v>
      </c>
      <c r="D413" s="165" t="s">
        <v>87</v>
      </c>
      <c r="E413" s="6">
        <v>65455</v>
      </c>
      <c r="F413" s="94">
        <v>64545.45454545454</v>
      </c>
      <c r="G413" s="125">
        <f t="shared" si="13"/>
        <v>0.014091549295774783</v>
      </c>
      <c r="H413" s="241"/>
      <c r="I413" s="45"/>
    </row>
    <row r="414" spans="1:9" ht="16.5">
      <c r="A414" s="3">
        <f>IF(E414="","",COUNTA($E$238:E414))</f>
        <v>160</v>
      </c>
      <c r="B414" s="168" t="s">
        <v>237</v>
      </c>
      <c r="C414" s="165" t="s">
        <v>2748</v>
      </c>
      <c r="D414" s="165" t="s">
        <v>88</v>
      </c>
      <c r="E414" s="6">
        <v>78181.81818181818</v>
      </c>
      <c r="F414" s="94">
        <v>78181.81818181818</v>
      </c>
      <c r="G414" s="125">
        <f t="shared" si="13"/>
        <v>0</v>
      </c>
      <c r="H414" s="241"/>
      <c r="I414" s="45"/>
    </row>
    <row r="415" spans="1:9" ht="16.5">
      <c r="A415" s="3">
        <f>IF(E415="","",COUNTA($E$238:E415))</f>
        <v>161</v>
      </c>
      <c r="B415" s="168" t="s">
        <v>238</v>
      </c>
      <c r="C415" s="165" t="s">
        <v>2748</v>
      </c>
      <c r="D415" s="165" t="s">
        <v>3089</v>
      </c>
      <c r="E415" s="6">
        <v>80000</v>
      </c>
      <c r="F415" s="94">
        <v>76363.63636363635</v>
      </c>
      <c r="G415" s="125">
        <f t="shared" si="13"/>
        <v>0.04761904761904776</v>
      </c>
      <c r="H415" s="241"/>
      <c r="I415" s="45"/>
    </row>
    <row r="416" spans="1:9" ht="16.5">
      <c r="A416" s="3">
        <f>IF(E416="","",COUNTA($E$238:E416))</f>
        <v>162</v>
      </c>
      <c r="B416" s="168" t="s">
        <v>240</v>
      </c>
      <c r="C416" s="165" t="s">
        <v>2748</v>
      </c>
      <c r="D416" s="165" t="s">
        <v>3089</v>
      </c>
      <c r="E416" s="6">
        <v>113636</v>
      </c>
      <c r="F416" s="94">
        <v>109090.90909090909</v>
      </c>
      <c r="G416" s="125">
        <f t="shared" si="13"/>
        <v>0.04166333333333336</v>
      </c>
      <c r="H416" s="241"/>
      <c r="I416" s="45"/>
    </row>
    <row r="417" spans="1:9" ht="16.5">
      <c r="A417" s="3">
        <f>IF(E417="","",COUNTA($E$238:E417))</f>
        <v>163</v>
      </c>
      <c r="B417" s="168" t="s">
        <v>241</v>
      </c>
      <c r="C417" s="165" t="s">
        <v>2748</v>
      </c>
      <c r="D417" s="165" t="s">
        <v>3089</v>
      </c>
      <c r="E417" s="6">
        <v>127273</v>
      </c>
      <c r="F417" s="94">
        <v>122727.27272727272</v>
      </c>
      <c r="G417" s="125">
        <f t="shared" si="13"/>
        <v>0.03703925925925931</v>
      </c>
      <c r="H417" s="241"/>
      <c r="I417" s="45"/>
    </row>
    <row r="418" spans="1:9" ht="16.5">
      <c r="A418" s="3">
        <f>IF(E418="","",COUNTA($E$238:E418))</f>
        <v>164</v>
      </c>
      <c r="B418" s="168" t="s">
        <v>242</v>
      </c>
      <c r="C418" s="165" t="s">
        <v>1116</v>
      </c>
      <c r="D418" s="165" t="s">
        <v>243</v>
      </c>
      <c r="E418" s="6">
        <v>50000</v>
      </c>
      <c r="F418" s="94">
        <v>43636.36363636363</v>
      </c>
      <c r="G418" s="125">
        <f t="shared" si="13"/>
        <v>0.14583333333333343</v>
      </c>
      <c r="H418" s="241"/>
      <c r="I418" s="45"/>
    </row>
    <row r="419" spans="1:9" ht="16.5">
      <c r="A419" s="3">
        <f>IF(E419="","",COUNTA($E$238:E419))</f>
        <v>165</v>
      </c>
      <c r="B419" s="168" t="s">
        <v>244</v>
      </c>
      <c r="C419" s="165" t="s">
        <v>1116</v>
      </c>
      <c r="D419" s="165" t="s">
        <v>245</v>
      </c>
      <c r="E419" s="6">
        <v>34545</v>
      </c>
      <c r="F419" s="94">
        <v>31818.181818181816</v>
      </c>
      <c r="G419" s="125">
        <f t="shared" si="13"/>
        <v>0.08570000000000007</v>
      </c>
      <c r="H419" s="241"/>
      <c r="I419" s="45"/>
    </row>
    <row r="420" spans="1:9" ht="16.5">
      <c r="A420" s="3">
        <f>IF(E420="","",COUNTA($E$238:E420))</f>
        <v>166</v>
      </c>
      <c r="B420" s="168" t="s">
        <v>246</v>
      </c>
      <c r="C420" s="165" t="s">
        <v>2748</v>
      </c>
      <c r="D420" s="165" t="s">
        <v>87</v>
      </c>
      <c r="E420" s="6">
        <v>76364</v>
      </c>
      <c r="F420" s="94">
        <v>74545.45454545454</v>
      </c>
      <c r="G420" s="125">
        <f t="shared" si="13"/>
        <v>0.02439512195121953</v>
      </c>
      <c r="H420" s="241"/>
      <c r="I420" s="45"/>
    </row>
    <row r="421" spans="1:9" ht="16.5">
      <c r="A421" s="3">
        <f>IF(E421="","",COUNTA($E$238:E421))</f>
        <v>167</v>
      </c>
      <c r="B421" s="168" t="s">
        <v>247</v>
      </c>
      <c r="C421" s="165" t="s">
        <v>2748</v>
      </c>
      <c r="D421" s="165" t="s">
        <v>87</v>
      </c>
      <c r="E421" s="6">
        <v>111818</v>
      </c>
      <c r="F421" s="94">
        <v>108181.81818181818</v>
      </c>
      <c r="G421" s="125">
        <f t="shared" si="13"/>
        <v>0.0336117647058824</v>
      </c>
      <c r="H421" s="241"/>
      <c r="I421" s="45"/>
    </row>
    <row r="422" spans="1:9" ht="16.5">
      <c r="A422" s="3">
        <f>IF(E422="","",COUNTA($E$238:E422))</f>
        <v>168</v>
      </c>
      <c r="B422" s="168" t="s">
        <v>248</v>
      </c>
      <c r="C422" s="165" t="s">
        <v>2748</v>
      </c>
      <c r="D422" s="165" t="s">
        <v>88</v>
      </c>
      <c r="E422" s="6">
        <v>92727.27272727272</v>
      </c>
      <c r="F422" s="94">
        <v>92727.27272727272</v>
      </c>
      <c r="G422" s="125">
        <f t="shared" si="13"/>
        <v>0</v>
      </c>
      <c r="H422" s="241"/>
      <c r="I422" s="45"/>
    </row>
    <row r="423" spans="1:9" ht="16.5">
      <c r="A423" s="3">
        <f>IF(E423="","",COUNTA($E$238:E423))</f>
        <v>169</v>
      </c>
      <c r="B423" s="168" t="s">
        <v>249</v>
      </c>
      <c r="C423" s="165" t="s">
        <v>2748</v>
      </c>
      <c r="D423" s="165" t="s">
        <v>239</v>
      </c>
      <c r="E423" s="6">
        <v>99091</v>
      </c>
      <c r="F423" s="94">
        <v>95454.54545454544</v>
      </c>
      <c r="G423" s="125">
        <f t="shared" si="13"/>
        <v>0.03809619047619062</v>
      </c>
      <c r="H423" s="241"/>
      <c r="I423" s="45"/>
    </row>
    <row r="424" spans="1:9" ht="16.5">
      <c r="A424" s="3">
        <f>IF(E424="","",COUNTA($E$238:E424))</f>
        <v>170</v>
      </c>
      <c r="B424" s="168" t="s">
        <v>250</v>
      </c>
      <c r="C424" s="165" t="s">
        <v>2748</v>
      </c>
      <c r="D424" s="165" t="s">
        <v>3090</v>
      </c>
      <c r="E424" s="6">
        <v>111818</v>
      </c>
      <c r="F424" s="94">
        <v>109090.90909090909</v>
      </c>
      <c r="G424" s="125">
        <f t="shared" si="13"/>
        <v>0.02499833333333336</v>
      </c>
      <c r="H424" s="242"/>
      <c r="I424" s="45"/>
    </row>
    <row r="425" spans="1:9" ht="17.25">
      <c r="A425" s="3">
        <f>IF(E425="","",COUNTA($E$238:E425))</f>
      </c>
      <c r="B425" s="61" t="s">
        <v>328</v>
      </c>
      <c r="E425" s="6"/>
      <c r="F425" s="6"/>
      <c r="G425" s="125"/>
      <c r="H425" s="240" t="s">
        <v>794</v>
      </c>
      <c r="I425" s="45"/>
    </row>
    <row r="426" spans="1:9" ht="82.5">
      <c r="A426" s="3">
        <f>IF(E426="","",COUNTA($E$238:E426))</f>
        <v>171</v>
      </c>
      <c r="B426" s="46" t="s">
        <v>303</v>
      </c>
      <c r="C426" s="21" t="s">
        <v>2981</v>
      </c>
      <c r="D426" s="62" t="s">
        <v>319</v>
      </c>
      <c r="E426" s="6">
        <v>314100</v>
      </c>
      <c r="F426" s="6">
        <v>314100</v>
      </c>
      <c r="G426" s="125">
        <f aca="true" t="shared" si="14" ref="G426:G433">(E426-F426)/E426</f>
        <v>0</v>
      </c>
      <c r="H426" s="241"/>
      <c r="I426" s="45"/>
    </row>
    <row r="427" spans="1:9" ht="82.5">
      <c r="A427" s="3">
        <f>IF(E427="","",COUNTA($E$238:E427))</f>
        <v>172</v>
      </c>
      <c r="B427" s="46" t="s">
        <v>304</v>
      </c>
      <c r="C427" s="21" t="s">
        <v>2981</v>
      </c>
      <c r="D427" s="62" t="s">
        <v>319</v>
      </c>
      <c r="E427" s="6">
        <v>344500</v>
      </c>
      <c r="F427" s="6">
        <v>344500</v>
      </c>
      <c r="G427" s="125">
        <f t="shared" si="14"/>
        <v>0</v>
      </c>
      <c r="H427" s="241"/>
      <c r="I427" s="45"/>
    </row>
    <row r="428" spans="1:9" ht="49.5">
      <c r="A428" s="3">
        <f>IF(E428="","",COUNTA($E$238:E428))</f>
        <v>173</v>
      </c>
      <c r="B428" s="46" t="s">
        <v>305</v>
      </c>
      <c r="C428" s="21" t="s">
        <v>2981</v>
      </c>
      <c r="D428" s="62" t="s">
        <v>319</v>
      </c>
      <c r="E428" s="6">
        <v>431700</v>
      </c>
      <c r="F428" s="6">
        <v>431700</v>
      </c>
      <c r="G428" s="125">
        <f t="shared" si="14"/>
        <v>0</v>
      </c>
      <c r="H428" s="241"/>
      <c r="I428" s="45"/>
    </row>
    <row r="429" spans="1:9" ht="82.5">
      <c r="A429" s="3">
        <f>IF(E429="","",COUNTA($E$238:E429))</f>
        <v>174</v>
      </c>
      <c r="B429" s="46" t="s">
        <v>306</v>
      </c>
      <c r="C429" s="21" t="s">
        <v>2981</v>
      </c>
      <c r="D429" s="62" t="s">
        <v>320</v>
      </c>
      <c r="E429" s="6">
        <v>221000</v>
      </c>
      <c r="F429" s="6">
        <v>221000</v>
      </c>
      <c r="G429" s="125">
        <f t="shared" si="14"/>
        <v>0</v>
      </c>
      <c r="H429" s="241"/>
      <c r="I429" s="45"/>
    </row>
    <row r="430" spans="1:9" ht="66">
      <c r="A430" s="3">
        <f>IF(E430="","",COUNTA($E$238:E430))</f>
        <v>175</v>
      </c>
      <c r="B430" s="46" t="s">
        <v>307</v>
      </c>
      <c r="C430" s="21" t="s">
        <v>2981</v>
      </c>
      <c r="D430" s="62" t="s">
        <v>320</v>
      </c>
      <c r="E430" s="6">
        <f>237600/1.08</f>
        <v>220000</v>
      </c>
      <c r="F430" s="6">
        <f>237600/1.08</f>
        <v>220000</v>
      </c>
      <c r="G430" s="125">
        <f t="shared" si="14"/>
        <v>0</v>
      </c>
      <c r="H430" s="241"/>
      <c r="I430" s="45"/>
    </row>
    <row r="431" spans="1:9" ht="49.5">
      <c r="A431" s="3">
        <f>IF(E431="","",COUNTA($E$238:E431))</f>
        <v>176</v>
      </c>
      <c r="B431" s="46" t="s">
        <v>308</v>
      </c>
      <c r="C431" s="21" t="s">
        <v>2981</v>
      </c>
      <c r="D431" s="62" t="s">
        <v>320</v>
      </c>
      <c r="E431" s="6">
        <v>288900</v>
      </c>
      <c r="F431" s="6">
        <v>288900</v>
      </c>
      <c r="G431" s="125">
        <f t="shared" si="14"/>
        <v>0</v>
      </c>
      <c r="H431" s="241"/>
      <c r="I431" s="45"/>
    </row>
    <row r="432" spans="1:9" ht="82.5">
      <c r="A432" s="3">
        <f>IF(E432="","",COUNTA($E$238:E432))</f>
        <v>177</v>
      </c>
      <c r="B432" s="46" t="s">
        <v>309</v>
      </c>
      <c r="C432" s="21" t="s">
        <v>2981</v>
      </c>
      <c r="D432" s="62" t="s">
        <v>321</v>
      </c>
      <c r="E432" s="6">
        <v>215800</v>
      </c>
      <c r="F432" s="6">
        <v>215800</v>
      </c>
      <c r="G432" s="125">
        <f t="shared" si="14"/>
        <v>0</v>
      </c>
      <c r="H432" s="241"/>
      <c r="I432" s="45"/>
    </row>
    <row r="433" spans="1:9" ht="66">
      <c r="A433" s="3">
        <f>IF(E433="","",COUNTA($E$238:E433))</f>
        <v>178</v>
      </c>
      <c r="B433" s="46" t="s">
        <v>310</v>
      </c>
      <c r="D433" s="62" t="s">
        <v>322</v>
      </c>
      <c r="E433" s="6">
        <v>177300</v>
      </c>
      <c r="F433" s="6">
        <v>177300</v>
      </c>
      <c r="G433" s="125">
        <f t="shared" si="14"/>
        <v>0</v>
      </c>
      <c r="H433" s="241"/>
      <c r="I433" s="45"/>
    </row>
    <row r="434" spans="1:9" ht="82.5">
      <c r="A434" s="3">
        <f>IF(E434="","",COUNTA($E$238:E434))</f>
        <v>179</v>
      </c>
      <c r="B434" s="46" t="s">
        <v>311</v>
      </c>
      <c r="C434" s="21" t="s">
        <v>2981</v>
      </c>
      <c r="D434" s="62" t="s">
        <v>323</v>
      </c>
      <c r="E434" s="6">
        <v>295300</v>
      </c>
      <c r="F434" s="6">
        <v>295300</v>
      </c>
      <c r="G434" s="125">
        <f aca="true" t="shared" si="15" ref="G434:G452">(E434-F434)/E434</f>
        <v>0</v>
      </c>
      <c r="H434" s="241"/>
      <c r="I434" s="45"/>
    </row>
    <row r="435" spans="1:9" ht="82.5">
      <c r="A435" s="3">
        <f>IF(E435="","",COUNTA($E$238:E435))</f>
        <v>180</v>
      </c>
      <c r="B435" s="46" t="s">
        <v>312</v>
      </c>
      <c r="C435" s="21" t="s">
        <v>2981</v>
      </c>
      <c r="D435" s="62" t="s">
        <v>324</v>
      </c>
      <c r="E435" s="6">
        <v>208000</v>
      </c>
      <c r="F435" s="6">
        <v>208000</v>
      </c>
      <c r="G435" s="125">
        <f t="shared" si="15"/>
        <v>0</v>
      </c>
      <c r="H435" s="241"/>
      <c r="I435" s="45"/>
    </row>
    <row r="436" spans="1:9" ht="82.5">
      <c r="A436" s="3">
        <f>IF(E436="","",COUNTA($E$238:E436))</f>
        <v>181</v>
      </c>
      <c r="B436" s="46" t="s">
        <v>313</v>
      </c>
      <c r="C436" s="21" t="s">
        <v>2981</v>
      </c>
      <c r="D436" s="62" t="s">
        <v>324</v>
      </c>
      <c r="E436" s="6">
        <v>244400</v>
      </c>
      <c r="F436" s="6">
        <v>244400</v>
      </c>
      <c r="G436" s="125">
        <f t="shared" si="15"/>
        <v>0</v>
      </c>
      <c r="H436" s="241"/>
      <c r="I436" s="45"/>
    </row>
    <row r="437" spans="1:9" ht="16.5">
      <c r="A437" s="3">
        <f>IF(E437="","",COUNTA($E$238:E437))</f>
        <v>182</v>
      </c>
      <c r="B437" s="46" t="s">
        <v>314</v>
      </c>
      <c r="C437" s="21" t="s">
        <v>1040</v>
      </c>
      <c r="D437" s="62" t="s">
        <v>325</v>
      </c>
      <c r="E437" s="6">
        <v>10319</v>
      </c>
      <c r="F437" s="6">
        <v>10319</v>
      </c>
      <c r="G437" s="125">
        <f t="shared" si="15"/>
        <v>0</v>
      </c>
      <c r="H437" s="241"/>
      <c r="I437" s="45"/>
    </row>
    <row r="438" spans="1:9" ht="16.5">
      <c r="A438" s="3">
        <f>IF(E438="","",COUNTA($E$238:E438))</f>
        <v>183</v>
      </c>
      <c r="B438" s="46" t="s">
        <v>315</v>
      </c>
      <c r="C438" s="21" t="s">
        <v>1040</v>
      </c>
      <c r="D438" s="62" t="s">
        <v>325</v>
      </c>
      <c r="E438" s="6">
        <v>8682</v>
      </c>
      <c r="F438" s="6">
        <v>8682</v>
      </c>
      <c r="G438" s="125">
        <f t="shared" si="15"/>
        <v>0</v>
      </c>
      <c r="H438" s="241"/>
      <c r="I438" s="45"/>
    </row>
    <row r="439" spans="1:9" ht="16.5">
      <c r="A439" s="3">
        <f>IF(E439="","",COUNTA($E$238:E439))</f>
        <v>184</v>
      </c>
      <c r="B439" s="46" t="s">
        <v>316</v>
      </c>
      <c r="C439" s="21" t="s">
        <v>1040</v>
      </c>
      <c r="D439" s="62" t="s">
        <v>326</v>
      </c>
      <c r="E439" s="6">
        <v>19000</v>
      </c>
      <c r="F439" s="6">
        <v>19000</v>
      </c>
      <c r="G439" s="125">
        <f t="shared" si="15"/>
        <v>0</v>
      </c>
      <c r="H439" s="241"/>
      <c r="I439" s="45"/>
    </row>
    <row r="440" spans="1:9" ht="19.5">
      <c r="A440" s="3">
        <f>IF(E440="","",COUNTA($E$238:E440))</f>
        <v>185</v>
      </c>
      <c r="B440" s="46" t="s">
        <v>317</v>
      </c>
      <c r="C440" s="21" t="s">
        <v>2981</v>
      </c>
      <c r="D440" s="62" t="s">
        <v>327</v>
      </c>
      <c r="E440" s="6">
        <v>189509</v>
      </c>
      <c r="F440" s="6">
        <v>189509</v>
      </c>
      <c r="G440" s="125">
        <f t="shared" si="15"/>
        <v>0</v>
      </c>
      <c r="H440" s="241"/>
      <c r="I440" s="45"/>
    </row>
    <row r="441" spans="1:9" ht="19.5">
      <c r="A441" s="3">
        <f>IF(E441="","",COUNTA($E$238:E441))</f>
        <v>186</v>
      </c>
      <c r="B441" s="46" t="s">
        <v>318</v>
      </c>
      <c r="C441" s="21" t="s">
        <v>2981</v>
      </c>
      <c r="D441" s="62" t="s">
        <v>327</v>
      </c>
      <c r="E441" s="6">
        <v>245370</v>
      </c>
      <c r="F441" s="6">
        <v>245370</v>
      </c>
      <c r="G441" s="125">
        <f t="shared" si="15"/>
        <v>0</v>
      </c>
      <c r="H441" s="241"/>
      <c r="I441" s="45"/>
    </row>
    <row r="442" spans="1:8" ht="16.5">
      <c r="A442" s="20" t="s">
        <v>3186</v>
      </c>
      <c r="B442" s="65" t="s">
        <v>997</v>
      </c>
      <c r="E442" s="11"/>
      <c r="F442" s="11"/>
      <c r="G442" s="125"/>
      <c r="H442" s="57"/>
    </row>
    <row r="443" spans="1:8" ht="30" customHeight="1">
      <c r="A443" s="3">
        <f>IF(F443="","",COUNTA($F443:F$443))</f>
        <v>1</v>
      </c>
      <c r="B443" s="24" t="s">
        <v>2763</v>
      </c>
      <c r="C443" s="21" t="s">
        <v>2981</v>
      </c>
      <c r="D443" s="62" t="s">
        <v>2769</v>
      </c>
      <c r="E443" s="5">
        <v>78182</v>
      </c>
      <c r="F443" s="5">
        <v>78182</v>
      </c>
      <c r="G443" s="125">
        <f t="shared" si="15"/>
        <v>0</v>
      </c>
      <c r="H443" s="247" t="s">
        <v>46</v>
      </c>
    </row>
    <row r="444" spans="1:8" ht="30" customHeight="1">
      <c r="A444" s="3">
        <f>IF(F444="","",COUNTA($F$443:F444))</f>
        <v>2</v>
      </c>
      <c r="B444" s="24" t="s">
        <v>2764</v>
      </c>
      <c r="C444" s="21" t="s">
        <v>2981</v>
      </c>
      <c r="D444" s="62" t="s">
        <v>2770</v>
      </c>
      <c r="E444" s="5">
        <v>81181</v>
      </c>
      <c r="F444" s="5">
        <v>81181</v>
      </c>
      <c r="G444" s="125">
        <f t="shared" si="15"/>
        <v>0</v>
      </c>
      <c r="H444" s="247"/>
    </row>
    <row r="445" spans="1:8" ht="30" customHeight="1">
      <c r="A445" s="3">
        <f>IF(F445="","",COUNTA($F$443:F445))</f>
        <v>3</v>
      </c>
      <c r="B445" s="24" t="s">
        <v>2765</v>
      </c>
      <c r="C445" s="21" t="s">
        <v>2981</v>
      </c>
      <c r="D445" s="62" t="s">
        <v>96</v>
      </c>
      <c r="E445" s="5">
        <v>86364</v>
      </c>
      <c r="F445" s="5">
        <v>86364</v>
      </c>
      <c r="G445" s="125">
        <f t="shared" si="15"/>
        <v>0</v>
      </c>
      <c r="H445" s="247"/>
    </row>
    <row r="446" spans="1:8" ht="16.5">
      <c r="A446" s="3">
        <f>IF(F446="","",COUNTA($F$443:F446))</f>
        <v>4</v>
      </c>
      <c r="B446" s="24" t="s">
        <v>2766</v>
      </c>
      <c r="C446" s="21" t="s">
        <v>2702</v>
      </c>
      <c r="D446" s="62" t="s">
        <v>2769</v>
      </c>
      <c r="E446" s="5">
        <v>78182</v>
      </c>
      <c r="F446" s="5">
        <v>78182</v>
      </c>
      <c r="G446" s="125">
        <f t="shared" si="15"/>
        <v>0</v>
      </c>
      <c r="H446" s="247" t="s">
        <v>2772</v>
      </c>
    </row>
    <row r="447" spans="1:8" ht="16.5">
      <c r="A447" s="3">
        <f>IF(F447="","",COUNTA($F$443:F447))</f>
        <v>5</v>
      </c>
      <c r="B447" s="24" t="s">
        <v>2767</v>
      </c>
      <c r="C447" s="21" t="s">
        <v>2702</v>
      </c>
      <c r="D447" s="62" t="s">
        <v>2770</v>
      </c>
      <c r="E447" s="5">
        <v>81818</v>
      </c>
      <c r="F447" s="5">
        <v>81818</v>
      </c>
      <c r="G447" s="125">
        <f t="shared" si="15"/>
        <v>0</v>
      </c>
      <c r="H447" s="247"/>
    </row>
    <row r="448" spans="1:8" ht="16.5">
      <c r="A448" s="20" t="s">
        <v>3187</v>
      </c>
      <c r="B448" s="65" t="s">
        <v>2768</v>
      </c>
      <c r="E448" s="11"/>
      <c r="F448" s="11"/>
      <c r="G448" s="125"/>
      <c r="H448" s="57"/>
    </row>
    <row r="449" spans="1:8" ht="23.25" customHeight="1">
      <c r="A449" s="3">
        <f>IF(F449="","",COUNTA($F$449:F449))</f>
        <v>1</v>
      </c>
      <c r="B449" s="24" t="s">
        <v>3215</v>
      </c>
      <c r="C449" s="21" t="s">
        <v>2981</v>
      </c>
      <c r="E449" s="5">
        <v>181818</v>
      </c>
      <c r="F449" s="177">
        <v>181818</v>
      </c>
      <c r="G449" s="125">
        <f t="shared" si="15"/>
        <v>0</v>
      </c>
      <c r="H449" s="240" t="s">
        <v>2773</v>
      </c>
    </row>
    <row r="450" spans="1:8" ht="23.25" customHeight="1">
      <c r="A450" s="3">
        <f>IF(F450="","",COUNTA($F$449:F450))</f>
        <v>2</v>
      </c>
      <c r="B450" s="24" t="s">
        <v>3218</v>
      </c>
      <c r="C450" s="21" t="s">
        <v>2981</v>
      </c>
      <c r="E450" s="5">
        <v>150000</v>
      </c>
      <c r="F450" s="177">
        <v>150000</v>
      </c>
      <c r="G450" s="125">
        <f t="shared" si="15"/>
        <v>0</v>
      </c>
      <c r="H450" s="241"/>
    </row>
    <row r="451" spans="1:8" ht="23.25" customHeight="1">
      <c r="A451" s="3">
        <f>IF(F451="","",COUNTA($F$449:F451))</f>
        <v>3</v>
      </c>
      <c r="B451" s="24" t="s">
        <v>2771</v>
      </c>
      <c r="C451" s="21" t="s">
        <v>2981</v>
      </c>
      <c r="E451" s="5">
        <v>181818</v>
      </c>
      <c r="F451" s="177">
        <v>181818</v>
      </c>
      <c r="G451" s="125">
        <f t="shared" si="15"/>
        <v>0</v>
      </c>
      <c r="H451" s="241"/>
    </row>
    <row r="452" spans="1:8" ht="23.25" customHeight="1">
      <c r="A452" s="3">
        <f>IF(F452="","",COUNTA($F$449:F452))</f>
        <v>4</v>
      </c>
      <c r="B452" s="24" t="s">
        <v>3217</v>
      </c>
      <c r="C452" s="21" t="s">
        <v>2981</v>
      </c>
      <c r="E452" s="5">
        <v>212727</v>
      </c>
      <c r="F452" s="177">
        <v>212727</v>
      </c>
      <c r="G452" s="125">
        <f t="shared" si="15"/>
        <v>0</v>
      </c>
      <c r="H452" s="241"/>
    </row>
    <row r="453" spans="1:8" ht="23.25" customHeight="1">
      <c r="A453" s="3">
        <f>IF(F453="","",COUNTA($F$449:F453))</f>
        <v>5</v>
      </c>
      <c r="B453" s="24" t="s">
        <v>3216</v>
      </c>
      <c r="C453" s="21" t="s">
        <v>2981</v>
      </c>
      <c r="E453" s="5">
        <v>147272</v>
      </c>
      <c r="F453" s="177">
        <v>147272</v>
      </c>
      <c r="G453" s="125">
        <f>(E453-F453)/E453</f>
        <v>0</v>
      </c>
      <c r="H453" s="242"/>
    </row>
    <row r="454" spans="1:8" ht="17.25">
      <c r="A454" s="3">
        <f>IF(F454="","",COUNTA($F$449:F454))</f>
      </c>
      <c r="B454" s="35" t="s">
        <v>2785</v>
      </c>
      <c r="C454" s="108"/>
      <c r="E454" s="109"/>
      <c r="F454" s="109"/>
      <c r="G454" s="125"/>
      <c r="H454" s="240" t="s">
        <v>1203</v>
      </c>
    </row>
    <row r="455" spans="1:8" ht="16.5">
      <c r="A455" s="3">
        <f>IF(F455="","",COUNTA($F$449:F455))</f>
        <v>6</v>
      </c>
      <c r="B455" s="168" t="s">
        <v>2756</v>
      </c>
      <c r="C455" s="165" t="s">
        <v>984</v>
      </c>
      <c r="D455" s="165" t="s">
        <v>3091</v>
      </c>
      <c r="E455" s="229">
        <v>9363.636363636362</v>
      </c>
      <c r="F455" s="94">
        <v>9363.636363636362</v>
      </c>
      <c r="G455" s="125">
        <f>(E455-F455)/F455</f>
        <v>0</v>
      </c>
      <c r="H455" s="241"/>
    </row>
    <row r="456" spans="1:8" ht="16.5">
      <c r="A456" s="3">
        <f>IF(F456="","",COUNTA($F$449:F456))</f>
        <v>7</v>
      </c>
      <c r="B456" s="168" t="s">
        <v>3092</v>
      </c>
      <c r="C456" s="165" t="s">
        <v>984</v>
      </c>
      <c r="D456" s="165" t="s">
        <v>3093</v>
      </c>
      <c r="E456" s="229">
        <v>13181.81818181818</v>
      </c>
      <c r="F456" s="94">
        <v>12727.272727272726</v>
      </c>
      <c r="G456" s="125">
        <f aca="true" t="shared" si="16" ref="G456:G518">(E456-F456)/F456</f>
        <v>0.03571428571428568</v>
      </c>
      <c r="H456" s="241"/>
    </row>
    <row r="457" spans="1:8" ht="16.5">
      <c r="A457" s="3">
        <f>IF(F457="","",COUNTA($F$449:F457))</f>
        <v>8</v>
      </c>
      <c r="B457" s="168" t="s">
        <v>3094</v>
      </c>
      <c r="C457" s="165" t="s">
        <v>984</v>
      </c>
      <c r="D457" s="165" t="s">
        <v>3095</v>
      </c>
      <c r="E457" s="229">
        <v>18181.81818181818</v>
      </c>
      <c r="F457" s="94">
        <v>20000</v>
      </c>
      <c r="G457" s="125">
        <f t="shared" si="16"/>
        <v>-0.090909090909091</v>
      </c>
      <c r="H457" s="241"/>
    </row>
    <row r="458" spans="1:8" ht="16.5">
      <c r="A458" s="3">
        <f>IF(F458="","",COUNTA($F$449:F458))</f>
        <v>9</v>
      </c>
      <c r="B458" s="168" t="s">
        <v>2759</v>
      </c>
      <c r="C458" s="165" t="s">
        <v>984</v>
      </c>
      <c r="D458" s="165" t="s">
        <v>3096</v>
      </c>
      <c r="E458" s="229">
        <v>12727.272727272726</v>
      </c>
      <c r="F458" s="94">
        <v>14545.454545454544</v>
      </c>
      <c r="G458" s="125">
        <f t="shared" si="16"/>
        <v>-0.125</v>
      </c>
      <c r="H458" s="241"/>
    </row>
    <row r="459" spans="1:8" ht="16.5">
      <c r="A459" s="3">
        <f>IF(F459="","",COUNTA($F$449:F459))</f>
        <v>10</v>
      </c>
      <c r="B459" s="168" t="s">
        <v>3097</v>
      </c>
      <c r="C459" s="165" t="s">
        <v>984</v>
      </c>
      <c r="D459" s="165" t="s">
        <v>3098</v>
      </c>
      <c r="E459" s="229">
        <v>11818.181818181818</v>
      </c>
      <c r="F459" s="94">
        <v>11818.181818181818</v>
      </c>
      <c r="G459" s="125">
        <f t="shared" si="16"/>
        <v>0</v>
      </c>
      <c r="H459" s="241"/>
    </row>
    <row r="460" spans="1:8" ht="16.5">
      <c r="A460" s="3">
        <f>IF(F460="","",COUNTA($F$449:F460))</f>
        <v>11</v>
      </c>
      <c r="B460" s="168" t="s">
        <v>2761</v>
      </c>
      <c r="C460" s="165" t="s">
        <v>984</v>
      </c>
      <c r="D460" s="165" t="s">
        <v>3099</v>
      </c>
      <c r="E460" s="229">
        <v>3545.454545454545</v>
      </c>
      <c r="F460" s="94">
        <v>3636.363636363636</v>
      </c>
      <c r="G460" s="125">
        <f t="shared" si="16"/>
        <v>-0.025000000000000026</v>
      </c>
      <c r="H460" s="241"/>
    </row>
    <row r="461" spans="1:8" ht="16.5">
      <c r="A461" s="3">
        <f>IF(F461="","",COUNTA($F$449:F461))</f>
        <v>12</v>
      </c>
      <c r="B461" s="168" t="s">
        <v>2762</v>
      </c>
      <c r="C461" s="165" t="s">
        <v>984</v>
      </c>
      <c r="D461" s="165" t="s">
        <v>3100</v>
      </c>
      <c r="E461" s="229">
        <v>9363.636363636362</v>
      </c>
      <c r="F461" s="94">
        <v>9545.454545454544</v>
      </c>
      <c r="G461" s="125">
        <f t="shared" si="16"/>
        <v>-0.019047619047619067</v>
      </c>
      <c r="H461" s="241"/>
    </row>
    <row r="462" spans="1:8" ht="17.25" customHeight="1">
      <c r="A462" s="3">
        <f>IF(F462="","",COUNTA($F$449:F462))</f>
      </c>
      <c r="B462" s="112" t="s">
        <v>251</v>
      </c>
      <c r="C462" s="20"/>
      <c r="E462" s="45"/>
      <c r="F462" s="107"/>
      <c r="G462" s="125"/>
      <c r="H462" s="241"/>
    </row>
    <row r="463" spans="1:9" ht="33">
      <c r="A463" s="3">
        <f>IF(F463="","",COUNTA($F$449:F463))</f>
        <v>13</v>
      </c>
      <c r="B463" s="167" t="s">
        <v>252</v>
      </c>
      <c r="C463" s="165" t="s">
        <v>984</v>
      </c>
      <c r="E463" s="6">
        <v>18545.454545454544</v>
      </c>
      <c r="F463" s="94">
        <v>18545.454545454544</v>
      </c>
      <c r="G463" s="125">
        <f t="shared" si="16"/>
        <v>0</v>
      </c>
      <c r="H463" s="241"/>
      <c r="I463" s="45">
        <v>17000</v>
      </c>
    </row>
    <row r="464" spans="1:9" ht="33">
      <c r="A464" s="3">
        <f>IF(F464="","",COUNTA($F$449:F464))</f>
        <v>14</v>
      </c>
      <c r="B464" s="167" t="s">
        <v>253</v>
      </c>
      <c r="C464" s="165" t="s">
        <v>984</v>
      </c>
      <c r="E464" s="6">
        <v>20181.81818181818</v>
      </c>
      <c r="F464" s="94">
        <v>20181.81818181818</v>
      </c>
      <c r="G464" s="125">
        <f t="shared" si="16"/>
        <v>0</v>
      </c>
      <c r="H464" s="241"/>
      <c r="I464" s="45">
        <v>18500</v>
      </c>
    </row>
    <row r="465" spans="1:9" ht="33">
      <c r="A465" s="3">
        <f>IF(F465="","",COUNTA($F$449:F465))</f>
        <v>15</v>
      </c>
      <c r="B465" s="167" t="s">
        <v>254</v>
      </c>
      <c r="C465" s="165" t="s">
        <v>984</v>
      </c>
      <c r="E465" s="6">
        <v>37272.72727272727</v>
      </c>
      <c r="F465" s="94">
        <v>37272.72727272727</v>
      </c>
      <c r="G465" s="125">
        <f t="shared" si="16"/>
        <v>0</v>
      </c>
      <c r="H465" s="241"/>
      <c r="I465" s="45">
        <v>37000</v>
      </c>
    </row>
    <row r="466" spans="1:9" ht="33">
      <c r="A466" s="3">
        <f>IF(F466="","",COUNTA($F$449:F466))</f>
        <v>16</v>
      </c>
      <c r="B466" s="167" t="s">
        <v>255</v>
      </c>
      <c r="C466" s="165" t="s">
        <v>984</v>
      </c>
      <c r="E466" s="6">
        <v>40000</v>
      </c>
      <c r="F466" s="94">
        <v>40000</v>
      </c>
      <c r="G466" s="125">
        <f t="shared" si="16"/>
        <v>0</v>
      </c>
      <c r="H466" s="241"/>
      <c r="I466" s="45">
        <v>42000</v>
      </c>
    </row>
    <row r="467" spans="1:9" ht="17.25">
      <c r="A467" s="3">
        <f>IF(F467="","",COUNTA($F$449:F467))</f>
      </c>
      <c r="B467" s="112" t="s">
        <v>256</v>
      </c>
      <c r="C467" s="20"/>
      <c r="E467" s="45"/>
      <c r="F467" s="107"/>
      <c r="G467" s="125"/>
      <c r="H467" s="241"/>
      <c r="I467" s="110"/>
    </row>
    <row r="468" spans="1:9" ht="16.5">
      <c r="A468" s="3">
        <f>IF(F468="","",COUNTA($F$449:F468))</f>
        <v>17</v>
      </c>
      <c r="B468" s="169" t="s">
        <v>257</v>
      </c>
      <c r="C468" s="165" t="s">
        <v>984</v>
      </c>
      <c r="D468" s="165"/>
      <c r="E468" s="6">
        <v>24000</v>
      </c>
      <c r="F468" s="94">
        <v>24000</v>
      </c>
      <c r="G468" s="125">
        <f t="shared" si="16"/>
        <v>0</v>
      </c>
      <c r="H468" s="241"/>
      <c r="I468" s="45"/>
    </row>
    <row r="469" spans="1:9" ht="16.5">
      <c r="A469" s="3">
        <f>IF(F469="","",COUNTA($F$449:F469))</f>
        <v>18</v>
      </c>
      <c r="B469" s="169" t="s">
        <v>258</v>
      </c>
      <c r="C469" s="165" t="s">
        <v>984</v>
      </c>
      <c r="D469" s="165"/>
      <c r="E469" s="6">
        <v>43000</v>
      </c>
      <c r="F469" s="94">
        <v>43000</v>
      </c>
      <c r="G469" s="125">
        <f t="shared" si="16"/>
        <v>0</v>
      </c>
      <c r="H469" s="241"/>
      <c r="I469" s="45"/>
    </row>
    <row r="470" spans="1:9" ht="16.5">
      <c r="A470" s="3">
        <f>IF(F470="","",COUNTA($F$449:F470))</f>
        <v>19</v>
      </c>
      <c r="B470" s="169" t="s">
        <v>259</v>
      </c>
      <c r="C470" s="165" t="s">
        <v>984</v>
      </c>
      <c r="D470" s="165"/>
      <c r="E470" s="6">
        <v>43000</v>
      </c>
      <c r="F470" s="94">
        <v>43000</v>
      </c>
      <c r="G470" s="125">
        <f t="shared" si="16"/>
        <v>0</v>
      </c>
      <c r="H470" s="241"/>
      <c r="I470" s="45"/>
    </row>
    <row r="471" spans="1:9" ht="16.5">
      <c r="A471" s="3">
        <f>IF(F471="","",COUNTA($F$449:F471))</f>
        <v>20</v>
      </c>
      <c r="B471" s="169" t="s">
        <v>260</v>
      </c>
      <c r="C471" s="165" t="s">
        <v>984</v>
      </c>
      <c r="D471" s="165"/>
      <c r="E471" s="6">
        <v>68000</v>
      </c>
      <c r="F471" s="94">
        <v>68000</v>
      </c>
      <c r="G471" s="125">
        <f t="shared" si="16"/>
        <v>0</v>
      </c>
      <c r="H471" s="241"/>
      <c r="I471" s="45"/>
    </row>
    <row r="472" spans="1:9" ht="16.5">
      <c r="A472" s="3">
        <f>IF(F472="","",COUNTA($F$449:F472))</f>
        <v>21</v>
      </c>
      <c r="B472" s="169" t="s">
        <v>261</v>
      </c>
      <c r="C472" s="165" t="s">
        <v>984</v>
      </c>
      <c r="D472" s="165"/>
      <c r="E472" s="6">
        <v>68000</v>
      </c>
      <c r="F472" s="94">
        <v>68000</v>
      </c>
      <c r="G472" s="125">
        <f t="shared" si="16"/>
        <v>0</v>
      </c>
      <c r="H472" s="241"/>
      <c r="I472" s="45"/>
    </row>
    <row r="473" spans="1:9" ht="16.5">
      <c r="A473" s="3">
        <f>IF(F473="","",COUNTA($F$449:F473))</f>
        <v>22</v>
      </c>
      <c r="B473" s="169" t="s">
        <v>262</v>
      </c>
      <c r="C473" s="165" t="s">
        <v>984</v>
      </c>
      <c r="D473" s="165"/>
      <c r="E473" s="6">
        <v>68000</v>
      </c>
      <c r="F473" s="94">
        <v>68000</v>
      </c>
      <c r="G473" s="125">
        <f t="shared" si="16"/>
        <v>0</v>
      </c>
      <c r="H473" s="241"/>
      <c r="I473" s="45"/>
    </row>
    <row r="474" spans="1:9" ht="16.5">
      <c r="A474" s="3">
        <f>IF(F474="","",COUNTA($F$449:F474))</f>
        <v>23</v>
      </c>
      <c r="B474" s="169" t="s">
        <v>263</v>
      </c>
      <c r="C474" s="165" t="s">
        <v>984</v>
      </c>
      <c r="D474" s="165"/>
      <c r="E474" s="6">
        <v>43000</v>
      </c>
      <c r="F474" s="94">
        <v>43000</v>
      </c>
      <c r="G474" s="125">
        <f t="shared" si="16"/>
        <v>0</v>
      </c>
      <c r="H474" s="241"/>
      <c r="I474" s="45"/>
    </row>
    <row r="475" spans="1:9" ht="16.5">
      <c r="A475" s="3">
        <f>IF(F475="","",COUNTA($F$449:F475))</f>
        <v>24</v>
      </c>
      <c r="B475" s="169" t="s">
        <v>264</v>
      </c>
      <c r="C475" s="165" t="s">
        <v>984</v>
      </c>
      <c r="D475" s="165"/>
      <c r="E475" s="6">
        <v>95000</v>
      </c>
      <c r="F475" s="94">
        <v>95000</v>
      </c>
      <c r="G475" s="125">
        <f t="shared" si="16"/>
        <v>0</v>
      </c>
      <c r="H475" s="241"/>
      <c r="I475" s="45"/>
    </row>
    <row r="476" spans="1:9" ht="17.25">
      <c r="A476" s="3">
        <f>IF(F476="","",COUNTA($F$449:F476))</f>
      </c>
      <c r="B476" s="112" t="s">
        <v>265</v>
      </c>
      <c r="C476" s="20"/>
      <c r="E476" s="45"/>
      <c r="F476" s="107"/>
      <c r="G476" s="125"/>
      <c r="H476" s="241"/>
      <c r="I476" s="110"/>
    </row>
    <row r="477" spans="1:9" ht="16.5">
      <c r="A477" s="3">
        <f>IF(F477="","",COUNTA($F$449:F477))</f>
        <v>25</v>
      </c>
      <c r="B477" s="169" t="s">
        <v>266</v>
      </c>
      <c r="C477" s="165" t="s">
        <v>984</v>
      </c>
      <c r="D477" s="165"/>
      <c r="E477" s="229">
        <v>28800</v>
      </c>
      <c r="F477" s="94">
        <v>27000</v>
      </c>
      <c r="G477" s="125">
        <f t="shared" si="16"/>
        <v>0.06666666666666667</v>
      </c>
      <c r="H477" s="241"/>
      <c r="I477" s="45"/>
    </row>
    <row r="478" spans="1:9" ht="16.5">
      <c r="A478" s="3">
        <f>IF(F478="","",COUNTA($F$449:F478))</f>
        <v>26</v>
      </c>
      <c r="B478" s="169" t="s">
        <v>258</v>
      </c>
      <c r="C478" s="165" t="s">
        <v>984</v>
      </c>
      <c r="D478" s="165"/>
      <c r="E478" s="229">
        <v>46000</v>
      </c>
      <c r="F478" s="94">
        <v>45000</v>
      </c>
      <c r="G478" s="125">
        <f t="shared" si="16"/>
        <v>0.022222222222222223</v>
      </c>
      <c r="H478" s="241"/>
      <c r="I478" s="45"/>
    </row>
    <row r="479" spans="1:9" ht="16.5">
      <c r="A479" s="3">
        <f>IF(F479="","",COUNTA($F$449:F479))</f>
        <v>27</v>
      </c>
      <c r="B479" s="169" t="s">
        <v>267</v>
      </c>
      <c r="C479" s="165" t="s">
        <v>984</v>
      </c>
      <c r="D479" s="165"/>
      <c r="E479" s="229">
        <v>46000</v>
      </c>
      <c r="F479" s="94">
        <v>45000</v>
      </c>
      <c r="G479" s="125">
        <f t="shared" si="16"/>
        <v>0.022222222222222223</v>
      </c>
      <c r="H479" s="241"/>
      <c r="I479" s="45"/>
    </row>
    <row r="480" spans="1:9" ht="16.5">
      <c r="A480" s="3">
        <f>IF(F480="","",COUNTA($F$449:F480))</f>
        <v>28</v>
      </c>
      <c r="B480" s="169" t="s">
        <v>268</v>
      </c>
      <c r="C480" s="165" t="s">
        <v>984</v>
      </c>
      <c r="D480" s="165"/>
      <c r="E480" s="229">
        <v>46000</v>
      </c>
      <c r="F480" s="94">
        <v>45000</v>
      </c>
      <c r="G480" s="125">
        <f t="shared" si="16"/>
        <v>0.022222222222222223</v>
      </c>
      <c r="H480" s="241"/>
      <c r="I480" s="45"/>
    </row>
    <row r="481" spans="1:9" ht="16.5">
      <c r="A481" s="3">
        <f>IF(F481="","",COUNTA($F$449:F481))</f>
        <v>29</v>
      </c>
      <c r="B481" s="169" t="s">
        <v>262</v>
      </c>
      <c r="C481" s="165" t="s">
        <v>984</v>
      </c>
      <c r="D481" s="165"/>
      <c r="E481" s="229">
        <v>68000</v>
      </c>
      <c r="F481" s="94">
        <v>68000</v>
      </c>
      <c r="G481" s="125">
        <f t="shared" si="16"/>
        <v>0</v>
      </c>
      <c r="H481" s="241"/>
      <c r="I481" s="45"/>
    </row>
    <row r="482" spans="1:9" ht="16.5">
      <c r="A482" s="3">
        <f>IF(F482="","",COUNTA($F$449:F482))</f>
        <v>30</v>
      </c>
      <c r="B482" s="169" t="s">
        <v>269</v>
      </c>
      <c r="C482" s="165" t="s">
        <v>984</v>
      </c>
      <c r="D482" s="165"/>
      <c r="E482" s="229">
        <v>68000</v>
      </c>
      <c r="F482" s="94">
        <v>68000</v>
      </c>
      <c r="G482" s="125">
        <f t="shared" si="16"/>
        <v>0</v>
      </c>
      <c r="H482" s="241"/>
      <c r="I482" s="45"/>
    </row>
    <row r="483" spans="1:9" ht="16.5">
      <c r="A483" s="3">
        <f>IF(F483="","",COUNTA($F$449:F483))</f>
        <v>31</v>
      </c>
      <c r="B483" s="169" t="s">
        <v>264</v>
      </c>
      <c r="C483" s="165" t="s">
        <v>984</v>
      </c>
      <c r="D483" s="165"/>
      <c r="E483" s="229">
        <v>95000</v>
      </c>
      <c r="F483" s="94">
        <v>95000</v>
      </c>
      <c r="G483" s="125">
        <f t="shared" si="16"/>
        <v>0</v>
      </c>
      <c r="H483" s="241"/>
      <c r="I483" s="45"/>
    </row>
    <row r="484" spans="1:9" ht="17.25">
      <c r="A484" s="3">
        <f>IF(F484="","",COUNTA($F$449:F484))</f>
      </c>
      <c r="B484" s="112" t="s">
        <v>270</v>
      </c>
      <c r="C484" s="20"/>
      <c r="E484" s="45"/>
      <c r="F484" s="107"/>
      <c r="G484" s="125"/>
      <c r="H484" s="241"/>
      <c r="I484" s="110"/>
    </row>
    <row r="485" spans="1:9" ht="16.5">
      <c r="A485" s="3">
        <f>IF(F485="","",COUNTA($F$449:F485))</f>
        <v>32</v>
      </c>
      <c r="B485" s="169" t="s">
        <v>257</v>
      </c>
      <c r="C485" s="165" t="s">
        <v>984</v>
      </c>
      <c r="D485" s="165"/>
      <c r="E485" s="6">
        <v>27200</v>
      </c>
      <c r="F485" s="94">
        <v>27200</v>
      </c>
      <c r="G485" s="125">
        <f t="shared" si="16"/>
        <v>0</v>
      </c>
      <c r="H485" s="241"/>
      <c r="I485" s="72"/>
    </row>
    <row r="486" spans="1:9" ht="16.5">
      <c r="A486" s="3">
        <f>IF(F486="","",COUNTA($F$449:F486))</f>
        <v>33</v>
      </c>
      <c r="B486" s="169" t="s">
        <v>258</v>
      </c>
      <c r="C486" s="165" t="s">
        <v>984</v>
      </c>
      <c r="D486" s="165"/>
      <c r="E486" s="6">
        <v>45000</v>
      </c>
      <c r="F486" s="94">
        <v>45000</v>
      </c>
      <c r="G486" s="125">
        <f t="shared" si="16"/>
        <v>0</v>
      </c>
      <c r="H486" s="241"/>
      <c r="I486" s="45"/>
    </row>
    <row r="487" spans="1:9" ht="16.5">
      <c r="A487" s="3">
        <f>IF(F487="","",COUNTA($F$449:F487))</f>
        <v>34</v>
      </c>
      <c r="B487" s="169" t="s">
        <v>259</v>
      </c>
      <c r="C487" s="165" t="s">
        <v>984</v>
      </c>
      <c r="D487" s="165"/>
      <c r="E487" s="6">
        <v>45000</v>
      </c>
      <c r="F487" s="94">
        <v>45000</v>
      </c>
      <c r="G487" s="125">
        <f t="shared" si="16"/>
        <v>0</v>
      </c>
      <c r="H487" s="241"/>
      <c r="I487" s="45"/>
    </row>
    <row r="488" spans="1:9" ht="16.5">
      <c r="A488" s="3">
        <f>IF(F488="","",COUNTA($F$449:F488))</f>
        <v>35</v>
      </c>
      <c r="B488" s="169" t="s">
        <v>260</v>
      </c>
      <c r="C488" s="165" t="s">
        <v>984</v>
      </c>
      <c r="D488" s="165"/>
      <c r="E488" s="6">
        <v>70000</v>
      </c>
      <c r="F488" s="94">
        <v>70000</v>
      </c>
      <c r="G488" s="125">
        <f t="shared" si="16"/>
        <v>0</v>
      </c>
      <c r="H488" s="241"/>
      <c r="I488" s="45"/>
    </row>
    <row r="489" spans="1:9" ht="16.5">
      <c r="A489" s="3">
        <f>IF(F489="","",COUNTA($F$449:F489))</f>
        <v>36</v>
      </c>
      <c r="B489" s="169" t="s">
        <v>261</v>
      </c>
      <c r="C489" s="165" t="s">
        <v>984</v>
      </c>
      <c r="D489" s="165"/>
      <c r="E489" s="6">
        <v>70000</v>
      </c>
      <c r="F489" s="94">
        <v>70000</v>
      </c>
      <c r="G489" s="125">
        <f t="shared" si="16"/>
        <v>0</v>
      </c>
      <c r="H489" s="241"/>
      <c r="I489" s="45"/>
    </row>
    <row r="490" spans="1:9" ht="16.5">
      <c r="A490" s="3">
        <f>IF(F490="","",COUNTA($F$449:F490))</f>
        <v>37</v>
      </c>
      <c r="B490" s="169" t="s">
        <v>262</v>
      </c>
      <c r="C490" s="165" t="s">
        <v>984</v>
      </c>
      <c r="D490" s="165"/>
      <c r="E490" s="6">
        <v>70000</v>
      </c>
      <c r="F490" s="94">
        <v>70000</v>
      </c>
      <c r="G490" s="125">
        <f t="shared" si="16"/>
        <v>0</v>
      </c>
      <c r="H490" s="241"/>
      <c r="I490" s="45"/>
    </row>
    <row r="491" spans="1:9" ht="16.5">
      <c r="A491" s="3">
        <f>IF(F491="","",COUNTA($F$449:F491))</f>
        <v>38</v>
      </c>
      <c r="B491" s="169" t="s">
        <v>263</v>
      </c>
      <c r="C491" s="165" t="s">
        <v>984</v>
      </c>
      <c r="D491" s="165"/>
      <c r="E491" s="6">
        <v>48000</v>
      </c>
      <c r="F491" s="94">
        <v>48000</v>
      </c>
      <c r="G491" s="125">
        <f t="shared" si="16"/>
        <v>0</v>
      </c>
      <c r="H491" s="241"/>
      <c r="I491" s="45"/>
    </row>
    <row r="492" spans="1:9" ht="17.25">
      <c r="A492" s="3">
        <f>IF(F492="","",COUNTA($F$449:F492))</f>
      </c>
      <c r="B492" s="112" t="s">
        <v>271</v>
      </c>
      <c r="C492" s="20"/>
      <c r="E492" s="219"/>
      <c r="F492" s="48"/>
      <c r="G492" s="125"/>
      <c r="H492" s="241"/>
      <c r="I492" s="110"/>
    </row>
    <row r="493" spans="1:9" ht="16.5">
      <c r="A493" s="3">
        <f>IF(F493="","",COUNTA($F$449:F493))</f>
        <v>39</v>
      </c>
      <c r="B493" s="169" t="s">
        <v>272</v>
      </c>
      <c r="C493" s="165" t="s">
        <v>984</v>
      </c>
      <c r="D493" s="165"/>
      <c r="E493" s="6">
        <v>18700</v>
      </c>
      <c r="F493" s="94">
        <v>18700</v>
      </c>
      <c r="G493" s="125">
        <f t="shared" si="16"/>
        <v>0</v>
      </c>
      <c r="H493" s="241"/>
      <c r="I493" s="45"/>
    </row>
    <row r="494" spans="1:9" ht="16.5">
      <c r="A494" s="3">
        <f>IF(F494="","",COUNTA($F$449:F494))</f>
        <v>40</v>
      </c>
      <c r="B494" s="169" t="s">
        <v>258</v>
      </c>
      <c r="C494" s="165" t="s">
        <v>984</v>
      </c>
      <c r="D494" s="165"/>
      <c r="E494" s="6">
        <v>48000</v>
      </c>
      <c r="F494" s="94">
        <v>48000</v>
      </c>
      <c r="G494" s="125">
        <f t="shared" si="16"/>
        <v>0</v>
      </c>
      <c r="H494" s="241"/>
      <c r="I494" s="45"/>
    </row>
    <row r="495" spans="1:9" ht="16.5">
      <c r="A495" s="3">
        <f>IF(F495="","",COUNTA($F$449:F495))</f>
        <v>41</v>
      </c>
      <c r="B495" s="169" t="s">
        <v>267</v>
      </c>
      <c r="C495" s="165" t="s">
        <v>984</v>
      </c>
      <c r="D495" s="165"/>
      <c r="E495" s="6">
        <v>48000</v>
      </c>
      <c r="F495" s="94">
        <v>48000</v>
      </c>
      <c r="G495" s="125">
        <f t="shared" si="16"/>
        <v>0</v>
      </c>
      <c r="H495" s="241"/>
      <c r="I495" s="45"/>
    </row>
    <row r="496" spans="1:9" ht="16.5">
      <c r="A496" s="3">
        <f>IF(F496="","",COUNTA($F$449:F496))</f>
        <v>42</v>
      </c>
      <c r="B496" s="169" t="s">
        <v>268</v>
      </c>
      <c r="C496" s="165" t="s">
        <v>984</v>
      </c>
      <c r="D496" s="165"/>
      <c r="E496" s="6">
        <v>48000</v>
      </c>
      <c r="F496" s="94">
        <v>48000</v>
      </c>
      <c r="G496" s="125">
        <f t="shared" si="16"/>
        <v>0</v>
      </c>
      <c r="H496" s="241"/>
      <c r="I496" s="45"/>
    </row>
    <row r="497" spans="1:9" ht="16.5">
      <c r="A497" s="3">
        <f>IF(F497="","",COUNTA($F$449:F497))</f>
        <v>43</v>
      </c>
      <c r="B497" s="169" t="s">
        <v>262</v>
      </c>
      <c r="C497" s="165" t="s">
        <v>984</v>
      </c>
      <c r="D497" s="165"/>
      <c r="E497" s="6">
        <v>70000</v>
      </c>
      <c r="F497" s="94">
        <v>70000</v>
      </c>
      <c r="G497" s="125">
        <f t="shared" si="16"/>
        <v>0</v>
      </c>
      <c r="H497" s="241"/>
      <c r="I497" s="45"/>
    </row>
    <row r="498" spans="1:9" ht="16.5">
      <c r="A498" s="3">
        <f>IF(F498="","",COUNTA($F$449:F498))</f>
        <v>44</v>
      </c>
      <c r="B498" s="169" t="s">
        <v>269</v>
      </c>
      <c r="C498" s="165" t="s">
        <v>984</v>
      </c>
      <c r="D498" s="165"/>
      <c r="E498" s="6">
        <v>70000</v>
      </c>
      <c r="F498" s="94">
        <v>70000</v>
      </c>
      <c r="G498" s="125">
        <f t="shared" si="16"/>
        <v>0</v>
      </c>
      <c r="H498" s="241"/>
      <c r="I498" s="45"/>
    </row>
    <row r="499" spans="1:9" ht="17.25">
      <c r="A499" s="3">
        <f>IF(F499="","",COUNTA($F$449:F499))</f>
      </c>
      <c r="B499" s="112" t="s">
        <v>273</v>
      </c>
      <c r="C499" s="20"/>
      <c r="E499" s="45"/>
      <c r="F499" s="107"/>
      <c r="G499" s="125"/>
      <c r="H499" s="241"/>
      <c r="I499" s="110"/>
    </row>
    <row r="500" spans="1:9" ht="16.5">
      <c r="A500" s="3">
        <f>IF(F500="","",COUNTA($F$449:F500))</f>
        <v>45</v>
      </c>
      <c r="B500" s="169" t="s">
        <v>274</v>
      </c>
      <c r="C500" s="165" t="s">
        <v>984</v>
      </c>
      <c r="D500" s="165"/>
      <c r="E500" s="6">
        <v>15500</v>
      </c>
      <c r="F500" s="94">
        <v>15500</v>
      </c>
      <c r="G500" s="125">
        <f t="shared" si="16"/>
        <v>0</v>
      </c>
      <c r="H500" s="241"/>
      <c r="I500" s="45"/>
    </row>
    <row r="501" spans="1:9" ht="16.5">
      <c r="A501" s="3">
        <f>IF(F501="","",COUNTA($F$449:F501))</f>
        <v>46</v>
      </c>
      <c r="B501" s="169" t="s">
        <v>258</v>
      </c>
      <c r="C501" s="165" t="s">
        <v>984</v>
      </c>
      <c r="D501" s="165"/>
      <c r="E501" s="6">
        <v>29000</v>
      </c>
      <c r="F501" s="94">
        <v>29000</v>
      </c>
      <c r="G501" s="125">
        <f t="shared" si="16"/>
        <v>0</v>
      </c>
      <c r="H501" s="241"/>
      <c r="I501" s="45"/>
    </row>
    <row r="502" spans="1:9" ht="16.5">
      <c r="A502" s="3">
        <f>IF(F502="","",COUNTA($F$449:F502))</f>
        <v>47</v>
      </c>
      <c r="B502" s="169" t="s">
        <v>259</v>
      </c>
      <c r="C502" s="165" t="s">
        <v>984</v>
      </c>
      <c r="D502" s="165"/>
      <c r="E502" s="6">
        <v>29000</v>
      </c>
      <c r="F502" s="94">
        <v>29000</v>
      </c>
      <c r="G502" s="125">
        <f t="shared" si="16"/>
        <v>0</v>
      </c>
      <c r="H502" s="241"/>
      <c r="I502" s="45"/>
    </row>
    <row r="503" spans="1:9" ht="16.5">
      <c r="A503" s="3">
        <f>IF(F503="","",COUNTA($F$449:F503))</f>
        <v>48</v>
      </c>
      <c r="B503" s="169" t="s">
        <v>263</v>
      </c>
      <c r="C503" s="165" t="s">
        <v>984</v>
      </c>
      <c r="D503" s="165"/>
      <c r="E503" s="6">
        <v>29000</v>
      </c>
      <c r="F503" s="94">
        <v>29000</v>
      </c>
      <c r="G503" s="125">
        <f t="shared" si="16"/>
        <v>0</v>
      </c>
      <c r="H503" s="241"/>
      <c r="I503" s="45"/>
    </row>
    <row r="504" spans="1:9" ht="16.5">
      <c r="A504" s="3">
        <f>IF(F504="","",COUNTA($F$449:F504))</f>
        <v>49</v>
      </c>
      <c r="B504" s="169" t="s">
        <v>269</v>
      </c>
      <c r="C504" s="165" t="s">
        <v>984</v>
      </c>
      <c r="D504" s="165"/>
      <c r="E504" s="6">
        <v>53000</v>
      </c>
      <c r="F504" s="94">
        <v>53000</v>
      </c>
      <c r="G504" s="125">
        <f t="shared" si="16"/>
        <v>0</v>
      </c>
      <c r="H504" s="241"/>
      <c r="I504" s="45"/>
    </row>
    <row r="505" spans="1:9" ht="16.5">
      <c r="A505" s="3">
        <f>IF(F505="","",COUNTA($F$449:F505))</f>
        <v>50</v>
      </c>
      <c r="B505" s="169" t="s">
        <v>275</v>
      </c>
      <c r="C505" s="165" t="s">
        <v>984</v>
      </c>
      <c r="D505" s="165"/>
      <c r="E505" s="6">
        <v>53000</v>
      </c>
      <c r="F505" s="94">
        <v>53000</v>
      </c>
      <c r="G505" s="125">
        <f t="shared" si="16"/>
        <v>0</v>
      </c>
      <c r="H505" s="241"/>
      <c r="I505" s="45"/>
    </row>
    <row r="506" spans="1:9" ht="16.5">
      <c r="A506" s="3">
        <f>IF(F506="","",COUNTA($F$449:F506))</f>
        <v>51</v>
      </c>
      <c r="B506" s="169" t="s">
        <v>276</v>
      </c>
      <c r="C506" s="165" t="s">
        <v>984</v>
      </c>
      <c r="D506" s="165"/>
      <c r="E506" s="6">
        <v>63000</v>
      </c>
      <c r="F506" s="94">
        <v>63000</v>
      </c>
      <c r="G506" s="125">
        <f t="shared" si="16"/>
        <v>0</v>
      </c>
      <c r="H506" s="241"/>
      <c r="I506" s="45"/>
    </row>
    <row r="507" spans="1:9" ht="16.5">
      <c r="A507" s="3">
        <f>IF(F507="","",COUNTA($F$449:F507))</f>
        <v>52</v>
      </c>
      <c r="B507" s="169" t="s">
        <v>277</v>
      </c>
      <c r="C507" s="165" t="s">
        <v>984</v>
      </c>
      <c r="D507" s="165"/>
      <c r="E507" s="6">
        <v>63000</v>
      </c>
      <c r="F507" s="94">
        <v>63000</v>
      </c>
      <c r="G507" s="125">
        <f t="shared" si="16"/>
        <v>0</v>
      </c>
      <c r="H507" s="241"/>
      <c r="I507" s="45"/>
    </row>
    <row r="508" spans="1:9" ht="16.5">
      <c r="A508" s="3">
        <f>IF(F508="","",COUNTA($F$449:F508))</f>
        <v>53</v>
      </c>
      <c r="B508" s="169" t="s">
        <v>278</v>
      </c>
      <c r="C508" s="165" t="s">
        <v>984</v>
      </c>
      <c r="D508" s="165"/>
      <c r="E508" s="6">
        <v>73000</v>
      </c>
      <c r="F508" s="94">
        <v>73000</v>
      </c>
      <c r="G508" s="125">
        <f t="shared" si="16"/>
        <v>0</v>
      </c>
      <c r="H508" s="241"/>
      <c r="I508" s="45"/>
    </row>
    <row r="509" spans="1:9" ht="16.5">
      <c r="A509" s="3">
        <f>IF(F509="","",COUNTA($F$449:F509))</f>
        <v>54</v>
      </c>
      <c r="B509" s="169" t="s">
        <v>262</v>
      </c>
      <c r="C509" s="165" t="s">
        <v>984</v>
      </c>
      <c r="D509" s="165"/>
      <c r="E509" s="6">
        <v>58000</v>
      </c>
      <c r="F509" s="94">
        <v>58000</v>
      </c>
      <c r="G509" s="125">
        <f t="shared" si="16"/>
        <v>0</v>
      </c>
      <c r="H509" s="241"/>
      <c r="I509" s="45"/>
    </row>
    <row r="510" spans="1:9" ht="17.25">
      <c r="A510" s="3">
        <f>IF(F510="","",COUNTA($F$449:F510))</f>
      </c>
      <c r="B510" s="112" t="s">
        <v>279</v>
      </c>
      <c r="C510" s="20"/>
      <c r="E510" s="45"/>
      <c r="F510" s="107"/>
      <c r="G510" s="125"/>
      <c r="H510" s="241"/>
      <c r="I510" s="110"/>
    </row>
    <row r="511" spans="1:9" ht="16.5">
      <c r="A511" s="3">
        <f>IF(F511="","",COUNTA($F$449:F511))</f>
        <v>55</v>
      </c>
      <c r="B511" s="170" t="s">
        <v>280</v>
      </c>
      <c r="C511" s="165" t="s">
        <v>984</v>
      </c>
      <c r="D511" s="165"/>
      <c r="E511" s="6">
        <v>15636.363636363634</v>
      </c>
      <c r="F511" s="94">
        <v>15636.363636363634</v>
      </c>
      <c r="G511" s="125">
        <f t="shared" si="16"/>
        <v>0</v>
      </c>
      <c r="H511" s="241"/>
      <c r="I511" s="45">
        <v>15700</v>
      </c>
    </row>
    <row r="512" spans="1:9" ht="16.5">
      <c r="A512" s="3">
        <f>IF(F512="","",COUNTA($F$449:F512))</f>
        <v>56</v>
      </c>
      <c r="B512" s="169" t="s">
        <v>281</v>
      </c>
      <c r="C512" s="165" t="s">
        <v>984</v>
      </c>
      <c r="D512" s="165"/>
      <c r="E512" s="6">
        <v>17636.363636363636</v>
      </c>
      <c r="F512" s="94">
        <v>17636.363636363636</v>
      </c>
      <c r="G512" s="125">
        <f t="shared" si="16"/>
        <v>0</v>
      </c>
      <c r="H512" s="241"/>
      <c r="I512" s="45">
        <v>18500</v>
      </c>
    </row>
    <row r="513" spans="1:9" ht="16.5">
      <c r="A513" s="3">
        <f>IF(F513="","",COUNTA($F$449:F513))</f>
        <v>57</v>
      </c>
      <c r="B513" s="169" t="s">
        <v>258</v>
      </c>
      <c r="C513" s="165" t="s">
        <v>984</v>
      </c>
      <c r="D513" s="165"/>
      <c r="E513" s="6">
        <v>24000</v>
      </c>
      <c r="F513" s="94">
        <v>24000</v>
      </c>
      <c r="G513" s="125">
        <f t="shared" si="16"/>
        <v>0</v>
      </c>
      <c r="H513" s="241"/>
      <c r="I513" s="45"/>
    </row>
    <row r="514" spans="1:9" ht="16.5">
      <c r="A514" s="3">
        <f>IF(F514="","",COUNTA($F$449:F514))</f>
        <v>58</v>
      </c>
      <c r="B514" s="169" t="s">
        <v>259</v>
      </c>
      <c r="C514" s="165" t="s">
        <v>984</v>
      </c>
      <c r="D514" s="165"/>
      <c r="E514" s="6">
        <v>24000</v>
      </c>
      <c r="F514" s="94">
        <v>24000</v>
      </c>
      <c r="G514" s="125">
        <f t="shared" si="16"/>
        <v>0</v>
      </c>
      <c r="H514" s="241"/>
      <c r="I514" s="45"/>
    </row>
    <row r="515" spans="1:9" ht="16.5">
      <c r="A515" s="3">
        <f>IF(F515="","",COUNTA($F$449:F515))</f>
        <v>59</v>
      </c>
      <c r="B515" s="169" t="s">
        <v>260</v>
      </c>
      <c r="C515" s="165" t="s">
        <v>984</v>
      </c>
      <c r="D515" s="165"/>
      <c r="E515" s="6">
        <v>58000</v>
      </c>
      <c r="F515" s="94">
        <v>58000</v>
      </c>
      <c r="G515" s="125">
        <f t="shared" si="16"/>
        <v>0</v>
      </c>
      <c r="H515" s="241"/>
      <c r="I515" s="45"/>
    </row>
    <row r="516" spans="1:9" ht="16.5">
      <c r="A516" s="3">
        <f>IF(F516="","",COUNTA($F$449:F516))</f>
        <v>60</v>
      </c>
      <c r="B516" s="169" t="s">
        <v>261</v>
      </c>
      <c r="C516" s="165" t="s">
        <v>984</v>
      </c>
      <c r="D516" s="165"/>
      <c r="E516" s="6">
        <v>78000</v>
      </c>
      <c r="F516" s="94">
        <v>78000</v>
      </c>
      <c r="G516" s="125">
        <f t="shared" si="16"/>
        <v>0</v>
      </c>
      <c r="H516" s="241"/>
      <c r="I516" s="45"/>
    </row>
    <row r="517" spans="1:9" ht="16.5">
      <c r="A517" s="3">
        <f>IF(F517="","",COUNTA($F$449:F517))</f>
        <v>61</v>
      </c>
      <c r="B517" s="169" t="s">
        <v>282</v>
      </c>
      <c r="C517" s="165" t="s">
        <v>984</v>
      </c>
      <c r="D517" s="165"/>
      <c r="E517" s="6">
        <v>93000</v>
      </c>
      <c r="F517" s="94">
        <v>93000</v>
      </c>
      <c r="G517" s="125">
        <f t="shared" si="16"/>
        <v>0</v>
      </c>
      <c r="H517" s="241"/>
      <c r="I517" s="45"/>
    </row>
    <row r="518" spans="1:9" ht="16.5">
      <c r="A518" s="3">
        <f>IF(F518="","",COUNTA($F$449:F518))</f>
        <v>62</v>
      </c>
      <c r="B518" s="169" t="s">
        <v>283</v>
      </c>
      <c r="C518" s="165" t="s">
        <v>984</v>
      </c>
      <c r="D518" s="165"/>
      <c r="E518" s="6">
        <v>93000</v>
      </c>
      <c r="F518" s="94">
        <v>93000</v>
      </c>
      <c r="G518" s="125">
        <f t="shared" si="16"/>
        <v>0</v>
      </c>
      <c r="H518" s="242"/>
      <c r="I518" s="45"/>
    </row>
    <row r="519" spans="1:7" ht="16.5">
      <c r="A519" s="20" t="s">
        <v>2094</v>
      </c>
      <c r="B519" s="23" t="s">
        <v>2791</v>
      </c>
      <c r="G519" s="125"/>
    </row>
    <row r="520" spans="1:8" ht="66">
      <c r="A520" s="3">
        <f>IF(F520="","",COUNTA($F$520:F520))</f>
        <v>1</v>
      </c>
      <c r="B520" s="25" t="s">
        <v>2794</v>
      </c>
      <c r="C520" s="21" t="s">
        <v>2793</v>
      </c>
      <c r="D520" s="43" t="s">
        <v>2795</v>
      </c>
      <c r="E520" s="8">
        <v>260000</v>
      </c>
      <c r="F520" s="174">
        <v>260000</v>
      </c>
      <c r="G520" s="125">
        <f>(E520-F520)/F520</f>
        <v>0</v>
      </c>
      <c r="H520" s="247" t="s">
        <v>1200</v>
      </c>
    </row>
    <row r="521" spans="1:8" ht="66">
      <c r="A521" s="3">
        <f>IF(F521="","",COUNTA($F$520:F521))</f>
        <v>2</v>
      </c>
      <c r="B521" s="25" t="s">
        <v>2796</v>
      </c>
      <c r="C521" s="21" t="s">
        <v>2793</v>
      </c>
      <c r="D521" s="43" t="s">
        <v>2797</v>
      </c>
      <c r="E521" s="8">
        <v>350000</v>
      </c>
      <c r="F521" s="174">
        <v>350000</v>
      </c>
      <c r="G521" s="125">
        <f aca="true" t="shared" si="17" ref="G521:G539">(E521-F521)/F521</f>
        <v>0</v>
      </c>
      <c r="H521" s="247"/>
    </row>
    <row r="522" spans="1:8" ht="66">
      <c r="A522" s="3">
        <f>IF(F522="","",COUNTA($F$520:F522))</f>
        <v>3</v>
      </c>
      <c r="B522" s="25" t="s">
        <v>2798</v>
      </c>
      <c r="C522" s="21" t="s">
        <v>2793</v>
      </c>
      <c r="D522" s="43" t="s">
        <v>2795</v>
      </c>
      <c r="E522" s="8">
        <v>290000</v>
      </c>
      <c r="F522" s="174">
        <v>290000</v>
      </c>
      <c r="G522" s="125">
        <f t="shared" si="17"/>
        <v>0</v>
      </c>
      <c r="H522" s="247"/>
    </row>
    <row r="523" spans="1:8" ht="66">
      <c r="A523" s="3">
        <f>IF(F523="","",COUNTA($F$520:F523))</f>
        <v>4</v>
      </c>
      <c r="B523" s="25" t="s">
        <v>2799</v>
      </c>
      <c r="C523" s="21" t="s">
        <v>2793</v>
      </c>
      <c r="D523" s="43" t="s">
        <v>2797</v>
      </c>
      <c r="E523" s="8">
        <v>380000</v>
      </c>
      <c r="F523" s="174">
        <v>380000</v>
      </c>
      <c r="G523" s="125">
        <f t="shared" si="17"/>
        <v>0</v>
      </c>
      <c r="H523" s="247"/>
    </row>
    <row r="524" spans="1:8" ht="66">
      <c r="A524" s="3">
        <f>IF(F524="","",COUNTA($F$520:F524))</f>
        <v>5</v>
      </c>
      <c r="B524" s="25" t="s">
        <v>1172</v>
      </c>
      <c r="C524" s="21" t="s">
        <v>2793</v>
      </c>
      <c r="D524" s="43" t="s">
        <v>1176</v>
      </c>
      <c r="E524" s="8">
        <v>425000</v>
      </c>
      <c r="F524" s="174">
        <v>425000</v>
      </c>
      <c r="G524" s="125">
        <f t="shared" si="17"/>
        <v>0</v>
      </c>
      <c r="H524" s="247"/>
    </row>
    <row r="525" spans="1:9" ht="66">
      <c r="A525" s="3">
        <f>IF(F525="","",COUNTA($F$520:F525))</f>
        <v>6</v>
      </c>
      <c r="B525" s="25" t="s">
        <v>1173</v>
      </c>
      <c r="C525" s="21" t="s">
        <v>2793</v>
      </c>
      <c r="D525" s="43" t="s">
        <v>1177</v>
      </c>
      <c r="E525" s="8">
        <v>570000</v>
      </c>
      <c r="F525" s="174">
        <v>570000</v>
      </c>
      <c r="G525" s="125">
        <f t="shared" si="17"/>
        <v>0</v>
      </c>
      <c r="H525" s="247"/>
      <c r="I525" s="188">
        <f>MIN(G520:G539)</f>
        <v>0</v>
      </c>
    </row>
    <row r="526" spans="1:9" ht="66">
      <c r="A526" s="3">
        <f>IF(F526="","",COUNTA($F$520:F526))</f>
        <v>7</v>
      </c>
      <c r="B526" s="25" t="s">
        <v>1174</v>
      </c>
      <c r="C526" s="21" t="s">
        <v>2793</v>
      </c>
      <c r="D526" s="43" t="s">
        <v>1176</v>
      </c>
      <c r="E526" s="8">
        <v>435000</v>
      </c>
      <c r="F526" s="174">
        <v>435000</v>
      </c>
      <c r="G526" s="125">
        <f t="shared" si="17"/>
        <v>0</v>
      </c>
      <c r="H526" s="247"/>
      <c r="I526" s="188">
        <f>MAX(G520:G539)</f>
        <v>0</v>
      </c>
    </row>
    <row r="527" spans="1:8" ht="66">
      <c r="A527" s="3">
        <f>IF(F527="","",COUNTA($F$520:F527))</f>
        <v>8</v>
      </c>
      <c r="B527" s="25" t="s">
        <v>1175</v>
      </c>
      <c r="C527" s="21" t="s">
        <v>2793</v>
      </c>
      <c r="D527" s="43" t="s">
        <v>1177</v>
      </c>
      <c r="E527" s="8">
        <v>595000</v>
      </c>
      <c r="F527" s="174">
        <v>595000</v>
      </c>
      <c r="G527" s="125">
        <f t="shared" si="17"/>
        <v>0</v>
      </c>
      <c r="H527" s="247"/>
    </row>
    <row r="528" spans="1:8" ht="66">
      <c r="A528" s="3">
        <f>IF(F528="","",COUNTA($F$520:F528))</f>
        <v>9</v>
      </c>
      <c r="B528" s="25" t="s">
        <v>1178</v>
      </c>
      <c r="C528" s="21" t="s">
        <v>2793</v>
      </c>
      <c r="D528" s="43" t="s">
        <v>1182</v>
      </c>
      <c r="E528" s="8">
        <v>605000</v>
      </c>
      <c r="F528" s="174">
        <v>605000</v>
      </c>
      <c r="G528" s="125">
        <f t="shared" si="17"/>
        <v>0</v>
      </c>
      <c r="H528" s="247"/>
    </row>
    <row r="529" spans="1:8" ht="66">
      <c r="A529" s="3">
        <f>IF(F529="","",COUNTA($F$520:F529))</f>
        <v>10</v>
      </c>
      <c r="B529" s="25" t="s">
        <v>1179</v>
      </c>
      <c r="C529" s="21" t="s">
        <v>2793</v>
      </c>
      <c r="D529" s="43" t="s">
        <v>1183</v>
      </c>
      <c r="E529" s="8">
        <v>840000</v>
      </c>
      <c r="F529" s="174">
        <v>840000</v>
      </c>
      <c r="G529" s="125">
        <f t="shared" si="17"/>
        <v>0</v>
      </c>
      <c r="H529" s="247"/>
    </row>
    <row r="530" spans="1:8" ht="66">
      <c r="A530" s="3">
        <f>IF(F530="","",COUNTA($F$520:F530))</f>
        <v>11</v>
      </c>
      <c r="B530" s="25" t="s">
        <v>1180</v>
      </c>
      <c r="C530" s="21" t="s">
        <v>2793</v>
      </c>
      <c r="D530" s="43" t="s">
        <v>1182</v>
      </c>
      <c r="E530" s="8">
        <v>690000</v>
      </c>
      <c r="F530" s="174">
        <v>690000</v>
      </c>
      <c r="G530" s="125">
        <f t="shared" si="17"/>
        <v>0</v>
      </c>
      <c r="H530" s="247"/>
    </row>
    <row r="531" spans="1:8" ht="66">
      <c r="A531" s="3">
        <f>IF(F531="","",COUNTA($F$520:F531))</f>
        <v>12</v>
      </c>
      <c r="B531" s="25" t="s">
        <v>1181</v>
      </c>
      <c r="C531" s="21" t="s">
        <v>2793</v>
      </c>
      <c r="D531" s="43" t="s">
        <v>1183</v>
      </c>
      <c r="E531" s="8">
        <v>930000</v>
      </c>
      <c r="F531" s="174">
        <v>930000</v>
      </c>
      <c r="G531" s="125">
        <f t="shared" si="17"/>
        <v>0</v>
      </c>
      <c r="H531" s="247"/>
    </row>
    <row r="532" spans="1:8" ht="66">
      <c r="A532" s="3">
        <f>IF(F532="","",COUNTA($F$520:F532))</f>
        <v>13</v>
      </c>
      <c r="B532" s="25" t="s">
        <v>1184</v>
      </c>
      <c r="C532" s="21" t="s">
        <v>2793</v>
      </c>
      <c r="D532" s="43" t="s">
        <v>1186</v>
      </c>
      <c r="E532" s="8">
        <v>1080000</v>
      </c>
      <c r="F532" s="174">
        <v>1080000</v>
      </c>
      <c r="G532" s="125">
        <f t="shared" si="17"/>
        <v>0</v>
      </c>
      <c r="H532" s="247"/>
    </row>
    <row r="533" spans="1:8" ht="66">
      <c r="A533" s="3">
        <f>IF(F533="","",COUNTA($F$520:F533))</f>
        <v>14</v>
      </c>
      <c r="B533" s="25" t="s">
        <v>1185</v>
      </c>
      <c r="C533" s="21" t="s">
        <v>2793</v>
      </c>
      <c r="D533" s="43" t="s">
        <v>1187</v>
      </c>
      <c r="E533" s="8">
        <v>1470000</v>
      </c>
      <c r="F533" s="174">
        <v>1470000</v>
      </c>
      <c r="G533" s="125">
        <f t="shared" si="17"/>
        <v>0</v>
      </c>
      <c r="H533" s="247"/>
    </row>
    <row r="534" spans="1:8" ht="66">
      <c r="A534" s="3">
        <f>IF(F534="","",COUNTA($F$520:F534))</f>
        <v>15</v>
      </c>
      <c r="B534" s="25" t="s">
        <v>1188</v>
      </c>
      <c r="C534" s="21" t="s">
        <v>2793</v>
      </c>
      <c r="D534" s="43" t="s">
        <v>1193</v>
      </c>
      <c r="E534" s="8">
        <v>1700000</v>
      </c>
      <c r="F534" s="174">
        <v>1700000</v>
      </c>
      <c r="G534" s="125">
        <f t="shared" si="17"/>
        <v>0</v>
      </c>
      <c r="H534" s="247"/>
    </row>
    <row r="535" spans="1:8" ht="66">
      <c r="A535" s="3">
        <f>IF(F535="","",COUNTA($F$520:F535))</f>
        <v>16</v>
      </c>
      <c r="B535" s="25" t="s">
        <v>1189</v>
      </c>
      <c r="C535" s="21" t="s">
        <v>2793</v>
      </c>
      <c r="D535" s="43" t="s">
        <v>1192</v>
      </c>
      <c r="E535" s="8">
        <v>2200000</v>
      </c>
      <c r="F535" s="174">
        <v>2200000</v>
      </c>
      <c r="G535" s="125">
        <f t="shared" si="17"/>
        <v>0</v>
      </c>
      <c r="H535" s="247"/>
    </row>
    <row r="536" spans="1:8" ht="66">
      <c r="A536" s="3">
        <f>IF(F536="","",COUNTA($F$520:F536))</f>
        <v>17</v>
      </c>
      <c r="B536" s="25" t="s">
        <v>1190</v>
      </c>
      <c r="C536" s="21" t="s">
        <v>2793</v>
      </c>
      <c r="D536" s="43" t="s">
        <v>1194</v>
      </c>
      <c r="E536" s="8">
        <v>1780000</v>
      </c>
      <c r="F536" s="174">
        <v>1780000</v>
      </c>
      <c r="G536" s="125">
        <f t="shared" si="17"/>
        <v>0</v>
      </c>
      <c r="H536" s="247"/>
    </row>
    <row r="537" spans="1:8" ht="66">
      <c r="A537" s="3">
        <f>IF(F537="","",COUNTA($F$520:F537))</f>
        <v>18</v>
      </c>
      <c r="B537" s="25" t="s">
        <v>1191</v>
      </c>
      <c r="C537" s="21" t="s">
        <v>2793</v>
      </c>
      <c r="D537" s="43" t="s">
        <v>1195</v>
      </c>
      <c r="E537" s="8">
        <v>2275000</v>
      </c>
      <c r="F537" s="174">
        <v>2275000</v>
      </c>
      <c r="G537" s="125">
        <f t="shared" si="17"/>
        <v>0</v>
      </c>
      <c r="H537" s="247"/>
    </row>
    <row r="538" spans="1:8" ht="66">
      <c r="A538" s="3">
        <f>IF(F538="","",COUNTA($F$520:F538))</f>
        <v>19</v>
      </c>
      <c r="B538" s="25" t="s">
        <v>1198</v>
      </c>
      <c r="C538" s="21" t="s">
        <v>2793</v>
      </c>
      <c r="D538" s="43" t="s">
        <v>1196</v>
      </c>
      <c r="E538" s="8">
        <v>2590000</v>
      </c>
      <c r="F538" s="174">
        <v>2590000</v>
      </c>
      <c r="G538" s="125">
        <f t="shared" si="17"/>
        <v>0</v>
      </c>
      <c r="H538" s="247"/>
    </row>
    <row r="539" spans="1:8" ht="66">
      <c r="A539" s="3">
        <f>IF(F539="","",COUNTA($F$520:F539))</f>
        <v>20</v>
      </c>
      <c r="B539" s="25" t="s">
        <v>1199</v>
      </c>
      <c r="C539" s="21" t="s">
        <v>2793</v>
      </c>
      <c r="D539" s="43" t="s">
        <v>1197</v>
      </c>
      <c r="E539" s="8">
        <v>3200000</v>
      </c>
      <c r="F539" s="174">
        <v>3200000</v>
      </c>
      <c r="G539" s="125">
        <f t="shared" si="17"/>
        <v>0</v>
      </c>
      <c r="H539" s="247"/>
    </row>
    <row r="540" spans="1:8" ht="33">
      <c r="A540" s="3">
        <f>IF(F540="","",COUNTA($F$520:F540))</f>
        <v>21</v>
      </c>
      <c r="B540" s="25" t="s">
        <v>2080</v>
      </c>
      <c r="C540" s="21" t="s">
        <v>2792</v>
      </c>
      <c r="D540" s="243" t="s">
        <v>2090</v>
      </c>
      <c r="E540" s="85">
        <v>235000</v>
      </c>
      <c r="F540" s="85">
        <v>235000</v>
      </c>
      <c r="G540" s="125">
        <f aca="true" t="shared" si="18" ref="G540:G562">(E540-F540)/E540</f>
        <v>0</v>
      </c>
      <c r="H540" s="247" t="s">
        <v>2093</v>
      </c>
    </row>
    <row r="541" spans="1:8" ht="33">
      <c r="A541" s="3">
        <f>IF(F541="","",COUNTA($F$520:F541))</f>
        <v>22</v>
      </c>
      <c r="B541" s="25" t="s">
        <v>2081</v>
      </c>
      <c r="C541" s="21" t="s">
        <v>2792</v>
      </c>
      <c r="D541" s="243"/>
      <c r="E541" s="85">
        <v>265000</v>
      </c>
      <c r="F541" s="85">
        <v>265000</v>
      </c>
      <c r="G541" s="125">
        <f t="shared" si="18"/>
        <v>0</v>
      </c>
      <c r="H541" s="247"/>
    </row>
    <row r="542" spans="1:8" ht="33">
      <c r="A542" s="3">
        <f>IF(F542="","",COUNTA($F$520:F542))</f>
        <v>23</v>
      </c>
      <c r="B542" s="25" t="s">
        <v>2082</v>
      </c>
      <c r="C542" s="21" t="s">
        <v>2792</v>
      </c>
      <c r="D542" s="243"/>
      <c r="E542" s="85">
        <v>340000</v>
      </c>
      <c r="F542" s="85">
        <v>340000</v>
      </c>
      <c r="G542" s="125">
        <f t="shared" si="18"/>
        <v>0</v>
      </c>
      <c r="H542" s="247"/>
    </row>
    <row r="543" spans="1:8" ht="33">
      <c r="A543" s="3">
        <f>IF(F543="","",COUNTA($F$520:F543))</f>
        <v>24</v>
      </c>
      <c r="B543" s="25" t="s">
        <v>2083</v>
      </c>
      <c r="C543" s="21" t="s">
        <v>2792</v>
      </c>
      <c r="D543" s="243"/>
      <c r="E543" s="85">
        <v>390000</v>
      </c>
      <c r="F543" s="85">
        <v>390000</v>
      </c>
      <c r="G543" s="125">
        <f t="shared" si="18"/>
        <v>0</v>
      </c>
      <c r="H543" s="247"/>
    </row>
    <row r="544" spans="1:8" ht="33">
      <c r="A544" s="3">
        <f>IF(F544="","",COUNTA($F$520:F544))</f>
        <v>25</v>
      </c>
      <c r="B544" s="25" t="s">
        <v>2084</v>
      </c>
      <c r="C544" s="21" t="s">
        <v>2792</v>
      </c>
      <c r="D544" s="243"/>
      <c r="E544" s="85">
        <v>535000</v>
      </c>
      <c r="F544" s="85">
        <v>535000</v>
      </c>
      <c r="G544" s="125">
        <f t="shared" si="18"/>
        <v>0</v>
      </c>
      <c r="H544" s="247"/>
    </row>
    <row r="545" spans="1:8" ht="33">
      <c r="A545" s="3">
        <f>IF(F545="","",COUNTA($F$520:F545))</f>
        <v>26</v>
      </c>
      <c r="B545" s="25" t="s">
        <v>2085</v>
      </c>
      <c r="C545" s="21" t="s">
        <v>2792</v>
      </c>
      <c r="D545" s="243"/>
      <c r="E545" s="85">
        <v>625000</v>
      </c>
      <c r="F545" s="85">
        <v>625000</v>
      </c>
      <c r="G545" s="125">
        <f t="shared" si="18"/>
        <v>0</v>
      </c>
      <c r="H545" s="247"/>
    </row>
    <row r="546" spans="1:8" ht="33">
      <c r="A546" s="3">
        <f>IF(F546="","",COUNTA($F$520:F546))</f>
        <v>27</v>
      </c>
      <c r="B546" s="25" t="s">
        <v>2086</v>
      </c>
      <c r="C546" s="21" t="s">
        <v>2792</v>
      </c>
      <c r="D546" s="243"/>
      <c r="E546" s="85">
        <v>965000</v>
      </c>
      <c r="F546" s="85">
        <v>965000</v>
      </c>
      <c r="G546" s="125">
        <f t="shared" si="18"/>
        <v>0</v>
      </c>
      <c r="H546" s="247"/>
    </row>
    <row r="547" spans="1:8" ht="33">
      <c r="A547" s="3">
        <f>IF(F547="","",COUNTA($F$520:F547))</f>
        <v>28</v>
      </c>
      <c r="B547" s="25" t="s">
        <v>2087</v>
      </c>
      <c r="C547" s="21" t="s">
        <v>2792</v>
      </c>
      <c r="D547" s="243"/>
      <c r="E547" s="85">
        <v>970000</v>
      </c>
      <c r="F547" s="85">
        <v>970000</v>
      </c>
      <c r="G547" s="125">
        <f t="shared" si="18"/>
        <v>0</v>
      </c>
      <c r="H547" s="247"/>
    </row>
    <row r="548" spans="1:8" ht="33">
      <c r="A548" s="3">
        <f>IF(F548="","",COUNTA($F$520:F548))</f>
        <v>29</v>
      </c>
      <c r="B548" s="25" t="s">
        <v>2088</v>
      </c>
      <c r="C548" s="21" t="s">
        <v>2792</v>
      </c>
      <c r="D548" s="243"/>
      <c r="E548" s="85">
        <v>1475000</v>
      </c>
      <c r="F548" s="85">
        <v>1475000</v>
      </c>
      <c r="G548" s="125">
        <f t="shared" si="18"/>
        <v>0</v>
      </c>
      <c r="H548" s="247"/>
    </row>
    <row r="549" spans="1:8" ht="33">
      <c r="A549" s="3">
        <f>IF(F549="","",COUNTA($F$520:F549))</f>
        <v>30</v>
      </c>
      <c r="B549" s="25" t="s">
        <v>2089</v>
      </c>
      <c r="C549" s="21" t="s">
        <v>2792</v>
      </c>
      <c r="D549" s="243"/>
      <c r="E549" s="85">
        <v>1700000</v>
      </c>
      <c r="F549" s="85">
        <v>1700000</v>
      </c>
      <c r="G549" s="125">
        <f t="shared" si="18"/>
        <v>0</v>
      </c>
      <c r="H549" s="247"/>
    </row>
    <row r="550" spans="1:8" ht="33">
      <c r="A550" s="3">
        <f>IF(F550="","",COUNTA($F$520:F550))</f>
        <v>31</v>
      </c>
      <c r="B550" s="25" t="s">
        <v>2080</v>
      </c>
      <c r="C550" s="21" t="s">
        <v>2792</v>
      </c>
      <c r="D550" s="243" t="s">
        <v>2092</v>
      </c>
      <c r="E550" s="85">
        <v>325000</v>
      </c>
      <c r="F550" s="85">
        <v>325000</v>
      </c>
      <c r="G550" s="125">
        <f t="shared" si="18"/>
        <v>0</v>
      </c>
      <c r="H550" s="247"/>
    </row>
    <row r="551" spans="1:8" ht="33">
      <c r="A551" s="3">
        <f>IF(F551="","",COUNTA($F$520:F551))</f>
        <v>32</v>
      </c>
      <c r="B551" s="25" t="s">
        <v>2081</v>
      </c>
      <c r="C551" s="21" t="s">
        <v>2792</v>
      </c>
      <c r="D551" s="243"/>
      <c r="E551" s="85">
        <v>360000</v>
      </c>
      <c r="F551" s="85">
        <v>360000</v>
      </c>
      <c r="G551" s="125">
        <f t="shared" si="18"/>
        <v>0</v>
      </c>
      <c r="H551" s="247"/>
    </row>
    <row r="552" spans="1:8" ht="33">
      <c r="A552" s="3">
        <f>IF(F552="","",COUNTA($F$520:F552))</f>
        <v>33</v>
      </c>
      <c r="B552" s="25" t="s">
        <v>2082</v>
      </c>
      <c r="C552" s="21" t="s">
        <v>2792</v>
      </c>
      <c r="D552" s="243"/>
      <c r="E552" s="85">
        <v>490000</v>
      </c>
      <c r="F552" s="85">
        <v>490000</v>
      </c>
      <c r="G552" s="125">
        <f t="shared" si="18"/>
        <v>0</v>
      </c>
      <c r="H552" s="247"/>
    </row>
    <row r="553" spans="1:8" ht="33">
      <c r="A553" s="3">
        <f>IF(F553="","",COUNTA($F$520:F553))</f>
        <v>34</v>
      </c>
      <c r="B553" s="25" t="s">
        <v>2083</v>
      </c>
      <c r="C553" s="21" t="s">
        <v>2792</v>
      </c>
      <c r="D553" s="243"/>
      <c r="E553" s="85">
        <v>540000</v>
      </c>
      <c r="F553" s="85">
        <v>540000</v>
      </c>
      <c r="G553" s="125">
        <f t="shared" si="18"/>
        <v>0</v>
      </c>
      <c r="H553" s="247"/>
    </row>
    <row r="554" spans="1:8" ht="33">
      <c r="A554" s="3">
        <f>IF(F554="","",COUNTA($F$520:F554))</f>
        <v>35</v>
      </c>
      <c r="B554" s="25" t="s">
        <v>2084</v>
      </c>
      <c r="C554" s="21" t="s">
        <v>2792</v>
      </c>
      <c r="D554" s="243"/>
      <c r="E554" s="85">
        <v>740000</v>
      </c>
      <c r="F554" s="85">
        <v>740000</v>
      </c>
      <c r="G554" s="125">
        <f t="shared" si="18"/>
        <v>0</v>
      </c>
      <c r="H554" s="247"/>
    </row>
    <row r="555" spans="1:8" ht="33">
      <c r="A555" s="3">
        <f>IF(F555="","",COUNTA($F$520:F555))</f>
        <v>36</v>
      </c>
      <c r="B555" s="25" t="s">
        <v>2085</v>
      </c>
      <c r="C555" s="21" t="s">
        <v>2792</v>
      </c>
      <c r="D555" s="243"/>
      <c r="E555" s="85">
        <v>835000</v>
      </c>
      <c r="F555" s="85">
        <v>835000</v>
      </c>
      <c r="G555" s="125">
        <f t="shared" si="18"/>
        <v>0</v>
      </c>
      <c r="H555" s="247"/>
    </row>
    <row r="556" spans="1:8" ht="33">
      <c r="A556" s="3">
        <f>IF(F556="","",COUNTA($F$520:F556))</f>
        <v>37</v>
      </c>
      <c r="B556" s="25" t="s">
        <v>2086</v>
      </c>
      <c r="C556" s="21" t="s">
        <v>2792</v>
      </c>
      <c r="D556" s="243"/>
      <c r="E556" s="85">
        <v>1345000</v>
      </c>
      <c r="F556" s="85">
        <v>1345000</v>
      </c>
      <c r="G556" s="125">
        <f t="shared" si="18"/>
        <v>0</v>
      </c>
      <c r="H556" s="247"/>
    </row>
    <row r="557" spans="1:8" ht="33">
      <c r="A557" s="3">
        <f>IF(F557="","",COUNTA($F$520:F557))</f>
        <v>38</v>
      </c>
      <c r="B557" s="25" t="s">
        <v>2087</v>
      </c>
      <c r="C557" s="21" t="s">
        <v>2792</v>
      </c>
      <c r="D557" s="243"/>
      <c r="E557" s="85">
        <v>1350000</v>
      </c>
      <c r="F557" s="85">
        <v>1350000</v>
      </c>
      <c r="G557" s="125">
        <f t="shared" si="18"/>
        <v>0</v>
      </c>
      <c r="H557" s="247"/>
    </row>
    <row r="558" spans="1:8" ht="33">
      <c r="A558" s="3">
        <f>IF(F558="","",COUNTA($F$520:F558))</f>
        <v>39</v>
      </c>
      <c r="B558" s="25" t="s">
        <v>2088</v>
      </c>
      <c r="C558" s="21" t="s">
        <v>2792</v>
      </c>
      <c r="D558" s="243"/>
      <c r="E558" s="85">
        <v>2000000</v>
      </c>
      <c r="F558" s="85">
        <v>2000000</v>
      </c>
      <c r="G558" s="125">
        <f t="shared" si="18"/>
        <v>0</v>
      </c>
      <c r="H558" s="247"/>
    </row>
    <row r="559" spans="1:8" ht="33">
      <c r="A559" s="3">
        <f>IF(F559="","",COUNTA($F$520:F559))</f>
        <v>40</v>
      </c>
      <c r="B559" s="25" t="s">
        <v>2089</v>
      </c>
      <c r="C559" s="21" t="s">
        <v>2792</v>
      </c>
      <c r="D559" s="243"/>
      <c r="E559" s="85">
        <v>2235000</v>
      </c>
      <c r="F559" s="85">
        <v>2235000</v>
      </c>
      <c r="G559" s="125">
        <f t="shared" si="18"/>
        <v>0</v>
      </c>
      <c r="H559" s="247"/>
    </row>
    <row r="560" spans="1:8" ht="33">
      <c r="A560" s="3">
        <f>IF(F560="","",COUNTA($F$520:F560))</f>
        <v>41</v>
      </c>
      <c r="B560" s="25" t="s">
        <v>2080</v>
      </c>
      <c r="C560" s="21" t="s">
        <v>2792</v>
      </c>
      <c r="D560" s="243" t="s">
        <v>2091</v>
      </c>
      <c r="E560" s="85">
        <v>367000</v>
      </c>
      <c r="F560" s="85">
        <v>367000</v>
      </c>
      <c r="G560" s="125">
        <f t="shared" si="18"/>
        <v>0</v>
      </c>
      <c r="H560" s="247"/>
    </row>
    <row r="561" spans="1:8" ht="33">
      <c r="A561" s="3">
        <f>IF(F561="","",COUNTA($F$520:F561))</f>
        <v>42</v>
      </c>
      <c r="B561" s="25" t="s">
        <v>2081</v>
      </c>
      <c r="C561" s="21" t="s">
        <v>2792</v>
      </c>
      <c r="D561" s="243"/>
      <c r="E561" s="85">
        <v>456000</v>
      </c>
      <c r="F561" s="85">
        <v>456000</v>
      </c>
      <c r="G561" s="125">
        <f t="shared" si="18"/>
        <v>0</v>
      </c>
      <c r="H561" s="247"/>
    </row>
    <row r="562" spans="1:8" ht="33">
      <c r="A562" s="3">
        <f>IF(F562="","",COUNTA($F$520:F562))</f>
        <v>43</v>
      </c>
      <c r="B562" s="25" t="s">
        <v>2082</v>
      </c>
      <c r="C562" s="21" t="s">
        <v>2792</v>
      </c>
      <c r="D562" s="243"/>
      <c r="E562" s="85">
        <v>620000</v>
      </c>
      <c r="F562" s="85">
        <v>620000</v>
      </c>
      <c r="G562" s="125">
        <f t="shared" si="18"/>
        <v>0</v>
      </c>
      <c r="H562" s="247"/>
    </row>
    <row r="563" spans="1:8" ht="33">
      <c r="A563" s="3">
        <f>IF(F563="","",COUNTA($F$520:F563))</f>
        <v>44</v>
      </c>
      <c r="B563" s="25" t="s">
        <v>2083</v>
      </c>
      <c r="C563" s="21" t="s">
        <v>2792</v>
      </c>
      <c r="D563" s="243"/>
      <c r="E563" s="85">
        <v>728000</v>
      </c>
      <c r="F563" s="85">
        <v>728000</v>
      </c>
      <c r="G563" s="125">
        <f aca="true" t="shared" si="19" ref="G563:G660">(E563-F563)/E563</f>
        <v>0</v>
      </c>
      <c r="H563" s="247"/>
    </row>
    <row r="564" spans="1:8" ht="33">
      <c r="A564" s="3">
        <f>IF(F564="","",COUNTA($F$520:F564))</f>
        <v>45</v>
      </c>
      <c r="B564" s="25" t="s">
        <v>2084</v>
      </c>
      <c r="C564" s="21" t="s">
        <v>2792</v>
      </c>
      <c r="D564" s="243"/>
      <c r="E564" s="85">
        <v>1034000</v>
      </c>
      <c r="F564" s="85">
        <v>1034000</v>
      </c>
      <c r="G564" s="125">
        <f t="shared" si="19"/>
        <v>0</v>
      </c>
      <c r="H564" s="247"/>
    </row>
    <row r="565" spans="1:8" ht="33">
      <c r="A565" s="3">
        <f>IF(F565="","",COUNTA($F$520:F565))</f>
        <v>46</v>
      </c>
      <c r="B565" s="25" t="s">
        <v>2085</v>
      </c>
      <c r="C565" s="21" t="s">
        <v>2792</v>
      </c>
      <c r="D565" s="243"/>
      <c r="E565" s="85">
        <v>1099000</v>
      </c>
      <c r="F565" s="85">
        <v>1099000</v>
      </c>
      <c r="G565" s="125">
        <f t="shared" si="19"/>
        <v>0</v>
      </c>
      <c r="H565" s="247"/>
    </row>
    <row r="566" spans="1:8" ht="33">
      <c r="A566" s="3">
        <f>IF(F566="","",COUNTA($F$520:F566))</f>
        <v>47</v>
      </c>
      <c r="B566" s="25" t="s">
        <v>2086</v>
      </c>
      <c r="C566" s="21" t="s">
        <v>2792</v>
      </c>
      <c r="D566" s="243"/>
      <c r="E566" s="85">
        <v>1665000</v>
      </c>
      <c r="F566" s="85">
        <v>1665000</v>
      </c>
      <c r="G566" s="125">
        <f t="shared" si="19"/>
        <v>0</v>
      </c>
      <c r="H566" s="247"/>
    </row>
    <row r="567" spans="1:8" ht="33">
      <c r="A567" s="3">
        <f>IF(F567="","",COUNTA($F$520:F567))</f>
        <v>48</v>
      </c>
      <c r="B567" s="25" t="s">
        <v>2087</v>
      </c>
      <c r="C567" s="21" t="s">
        <v>2792</v>
      </c>
      <c r="D567" s="243"/>
      <c r="E567" s="85">
        <v>1643000</v>
      </c>
      <c r="F567" s="85">
        <v>1643000</v>
      </c>
      <c r="G567" s="125">
        <f t="shared" si="19"/>
        <v>0</v>
      </c>
      <c r="H567" s="247"/>
    </row>
    <row r="568" spans="1:8" ht="33">
      <c r="A568" s="3">
        <f>IF(F568="","",COUNTA($F$520:F568))</f>
        <v>49</v>
      </c>
      <c r="B568" s="25" t="s">
        <v>2088</v>
      </c>
      <c r="C568" s="21" t="s">
        <v>2792</v>
      </c>
      <c r="D568" s="243"/>
      <c r="E568" s="85">
        <v>2579000</v>
      </c>
      <c r="F568" s="85">
        <v>2579000</v>
      </c>
      <c r="G568" s="125">
        <f t="shared" si="19"/>
        <v>0</v>
      </c>
      <c r="H568" s="247"/>
    </row>
    <row r="569" spans="1:8" ht="33">
      <c r="A569" s="3">
        <f>IF(F569="","",COUNTA($F$520:F569))</f>
        <v>50</v>
      </c>
      <c r="B569" s="25" t="s">
        <v>2089</v>
      </c>
      <c r="C569" s="21" t="s">
        <v>2792</v>
      </c>
      <c r="D569" s="243"/>
      <c r="E569" s="85">
        <v>2649000</v>
      </c>
      <c r="F569" s="85">
        <v>2649000</v>
      </c>
      <c r="G569" s="125">
        <f t="shared" si="19"/>
        <v>0</v>
      </c>
      <c r="H569" s="247"/>
    </row>
    <row r="570" spans="1:8" ht="16.5" customHeight="1">
      <c r="A570" s="20" t="s">
        <v>1675</v>
      </c>
      <c r="B570" s="41" t="s">
        <v>418</v>
      </c>
      <c r="G570" s="125"/>
      <c r="H570" s="240" t="s">
        <v>417</v>
      </c>
    </row>
    <row r="571" spans="1:8" ht="17.25">
      <c r="A571" s="3">
        <f>IF(F571="","",COUNTA($F$570:F571))</f>
      </c>
      <c r="B571" s="39" t="s">
        <v>423</v>
      </c>
      <c r="G571" s="125"/>
      <c r="H571" s="241"/>
    </row>
    <row r="572" spans="1:8" ht="16.5">
      <c r="A572" s="3">
        <f>IF(E572="","",COUNTA($E$572:E572))</f>
        <v>1</v>
      </c>
      <c r="B572" s="143" t="s">
        <v>419</v>
      </c>
      <c r="C572" s="21" t="s">
        <v>420</v>
      </c>
      <c r="D572" s="62" t="s">
        <v>421</v>
      </c>
      <c r="E572" s="1">
        <v>22500</v>
      </c>
      <c r="F572" s="176">
        <v>22500</v>
      </c>
      <c r="G572" s="125">
        <f t="shared" si="19"/>
        <v>0</v>
      </c>
      <c r="H572" s="241"/>
    </row>
    <row r="573" spans="1:8" ht="17.25">
      <c r="A573" s="3">
        <f>IF(E573="","",COUNTA($E$572:E573))</f>
      </c>
      <c r="B573" s="39" t="s">
        <v>422</v>
      </c>
      <c r="F573" s="176"/>
      <c r="G573" s="125"/>
      <c r="H573" s="241"/>
    </row>
    <row r="574" spans="1:8" ht="16.5">
      <c r="A574" s="3">
        <f>IF(E574="","",COUNTA($E$572:E574))</f>
        <v>2</v>
      </c>
      <c r="B574" s="143" t="s">
        <v>424</v>
      </c>
      <c r="C574" s="21" t="s">
        <v>420</v>
      </c>
      <c r="D574" s="237" t="s">
        <v>2849</v>
      </c>
      <c r="E574" s="1">
        <v>61000</v>
      </c>
      <c r="F574" s="176">
        <v>61000</v>
      </c>
      <c r="G574" s="125">
        <f t="shared" si="19"/>
        <v>0</v>
      </c>
      <c r="H574" s="241"/>
    </row>
    <row r="575" spans="1:8" ht="16.5">
      <c r="A575" s="3">
        <f>IF(E575="","",COUNTA($E$572:E575))</f>
        <v>3</v>
      </c>
      <c r="B575" s="143" t="s">
        <v>425</v>
      </c>
      <c r="C575" s="21" t="s">
        <v>420</v>
      </c>
      <c r="D575" s="238"/>
      <c r="E575" s="1">
        <v>84000</v>
      </c>
      <c r="F575" s="176">
        <v>84000</v>
      </c>
      <c r="G575" s="125">
        <f t="shared" si="19"/>
        <v>0</v>
      </c>
      <c r="H575" s="241"/>
    </row>
    <row r="576" spans="1:8" ht="16.5">
      <c r="A576" s="3">
        <f>IF(E576="","",COUNTA($E$572:E576))</f>
        <v>4</v>
      </c>
      <c r="B576" s="143" t="s">
        <v>2800</v>
      </c>
      <c r="C576" s="21" t="s">
        <v>420</v>
      </c>
      <c r="D576" s="238"/>
      <c r="E576" s="1">
        <v>97000</v>
      </c>
      <c r="F576" s="176">
        <v>97000</v>
      </c>
      <c r="G576" s="125">
        <f t="shared" si="19"/>
        <v>0</v>
      </c>
      <c r="H576" s="241"/>
    </row>
    <row r="577" spans="1:8" ht="16.5">
      <c r="A577" s="3">
        <f>IF(E577="","",COUNTA($E$572:E577))</f>
        <v>5</v>
      </c>
      <c r="B577" s="143" t="s">
        <v>2801</v>
      </c>
      <c r="C577" s="21" t="s">
        <v>1040</v>
      </c>
      <c r="D577" s="238"/>
      <c r="E577" s="1">
        <v>30200</v>
      </c>
      <c r="F577" s="176">
        <v>30200</v>
      </c>
      <c r="G577" s="125">
        <f t="shared" si="19"/>
        <v>0</v>
      </c>
      <c r="H577" s="241"/>
    </row>
    <row r="578" spans="1:8" ht="16.5">
      <c r="A578" s="3">
        <f>IF(E578="","",COUNTA($E$572:E578))</f>
        <v>6</v>
      </c>
      <c r="B578" s="143" t="s">
        <v>2802</v>
      </c>
      <c r="C578" s="21" t="s">
        <v>420</v>
      </c>
      <c r="D578" s="238"/>
      <c r="E578" s="1">
        <v>80000</v>
      </c>
      <c r="F578" s="176">
        <v>80000</v>
      </c>
      <c r="G578" s="125">
        <f t="shared" si="19"/>
        <v>0</v>
      </c>
      <c r="H578" s="241"/>
    </row>
    <row r="579" spans="1:8" ht="16.5">
      <c r="A579" s="3">
        <f>IF(E579="","",COUNTA($E$572:E579))</f>
        <v>7</v>
      </c>
      <c r="B579" s="143" t="s">
        <v>2803</v>
      </c>
      <c r="C579" s="21" t="s">
        <v>1040</v>
      </c>
      <c r="D579" s="238"/>
      <c r="E579" s="1">
        <v>64000</v>
      </c>
      <c r="F579" s="176">
        <v>64000</v>
      </c>
      <c r="G579" s="125">
        <f t="shared" si="19"/>
        <v>0</v>
      </c>
      <c r="H579" s="241"/>
    </row>
    <row r="580" spans="1:8" ht="16.5">
      <c r="A580" s="3">
        <f>IF(E580="","",COUNTA($E$572:E580))</f>
        <v>8</v>
      </c>
      <c r="B580" s="143" t="s">
        <v>2804</v>
      </c>
      <c r="C580" s="21" t="s">
        <v>1040</v>
      </c>
      <c r="D580" s="238"/>
      <c r="E580" s="1">
        <v>37500</v>
      </c>
      <c r="F580" s="176">
        <v>37500</v>
      </c>
      <c r="G580" s="125">
        <f t="shared" si="19"/>
        <v>0</v>
      </c>
      <c r="H580" s="241"/>
    </row>
    <row r="581" spans="1:8" ht="16.5">
      <c r="A581" s="3">
        <f>IF(E581="","",COUNTA($E$572:E581))</f>
        <v>9</v>
      </c>
      <c r="B581" s="143" t="s">
        <v>2805</v>
      </c>
      <c r="C581" s="21" t="s">
        <v>1040</v>
      </c>
      <c r="D581" s="238"/>
      <c r="E581" s="1">
        <v>73000</v>
      </c>
      <c r="F581" s="176">
        <v>73000</v>
      </c>
      <c r="G581" s="125">
        <f t="shared" si="19"/>
        <v>0</v>
      </c>
      <c r="H581" s="241"/>
    </row>
    <row r="582" spans="1:8" ht="16.5">
      <c r="A582" s="3">
        <f>IF(E582="","",COUNTA($E$572:E582))</f>
        <v>10</v>
      </c>
      <c r="B582" s="143" t="s">
        <v>2806</v>
      </c>
      <c r="C582" s="21" t="s">
        <v>1040</v>
      </c>
      <c r="D582" s="238"/>
      <c r="E582" s="1">
        <v>90000</v>
      </c>
      <c r="F582" s="176">
        <v>90000</v>
      </c>
      <c r="G582" s="125">
        <f t="shared" si="19"/>
        <v>0</v>
      </c>
      <c r="H582" s="241"/>
    </row>
    <row r="583" spans="1:8" ht="16.5">
      <c r="A583" s="3">
        <f>IF(E583="","",COUNTA($E$572:E583))</f>
        <v>11</v>
      </c>
      <c r="B583" s="143" t="s">
        <v>2807</v>
      </c>
      <c r="C583" s="21" t="s">
        <v>1040</v>
      </c>
      <c r="D583" s="238"/>
      <c r="E583" s="1">
        <v>171000</v>
      </c>
      <c r="F583" s="176">
        <v>171000</v>
      </c>
      <c r="G583" s="125">
        <f t="shared" si="19"/>
        <v>0</v>
      </c>
      <c r="H583" s="241"/>
    </row>
    <row r="584" spans="1:8" ht="16.5">
      <c r="A584" s="3">
        <f>IF(E584="","",COUNTA($E$572:E584))</f>
        <v>12</v>
      </c>
      <c r="B584" s="143" t="s">
        <v>2808</v>
      </c>
      <c r="C584" s="21" t="s">
        <v>1040</v>
      </c>
      <c r="D584" s="238"/>
      <c r="E584" s="1">
        <v>119000</v>
      </c>
      <c r="F584" s="176">
        <v>119000</v>
      </c>
      <c r="G584" s="125">
        <f t="shared" si="19"/>
        <v>0</v>
      </c>
      <c r="H584" s="241"/>
    </row>
    <row r="585" spans="1:8" ht="16.5">
      <c r="A585" s="3">
        <f>IF(E585="","",COUNTA($E$572:E585))</f>
        <v>13</v>
      </c>
      <c r="B585" s="143" t="s">
        <v>2809</v>
      </c>
      <c r="C585" s="21" t="s">
        <v>1040</v>
      </c>
      <c r="D585" s="238"/>
      <c r="E585" s="1">
        <v>116000</v>
      </c>
      <c r="F585" s="176">
        <v>116000</v>
      </c>
      <c r="G585" s="125">
        <f t="shared" si="19"/>
        <v>0</v>
      </c>
      <c r="H585" s="241"/>
    </row>
    <row r="586" spans="1:8" ht="16.5">
      <c r="A586" s="3">
        <f>IF(E586="","",COUNTA($E$572:E586))</f>
        <v>14</v>
      </c>
      <c r="B586" s="143" t="s">
        <v>2810</v>
      </c>
      <c r="C586" s="21" t="s">
        <v>1040</v>
      </c>
      <c r="D586" s="238"/>
      <c r="E586" s="1">
        <v>52500</v>
      </c>
      <c r="F586" s="176">
        <v>52500</v>
      </c>
      <c r="G586" s="125">
        <f t="shared" si="19"/>
        <v>0</v>
      </c>
      <c r="H586" s="241"/>
    </row>
    <row r="587" spans="1:8" ht="16.5">
      <c r="A587" s="3">
        <f>IF(E587="","",COUNTA($E$572:E587))</f>
        <v>15</v>
      </c>
      <c r="B587" s="143" t="s">
        <v>2811</v>
      </c>
      <c r="C587" s="21" t="s">
        <v>1040</v>
      </c>
      <c r="D587" s="238"/>
      <c r="E587" s="1">
        <v>58000</v>
      </c>
      <c r="F587" s="176">
        <v>58000</v>
      </c>
      <c r="G587" s="125">
        <f t="shared" si="19"/>
        <v>0</v>
      </c>
      <c r="H587" s="241"/>
    </row>
    <row r="588" spans="1:8" ht="16.5">
      <c r="A588" s="3">
        <f>IF(E588="","",COUNTA($E$572:E588))</f>
        <v>16</v>
      </c>
      <c r="B588" s="143" t="s">
        <v>2812</v>
      </c>
      <c r="C588" s="21" t="s">
        <v>1040</v>
      </c>
      <c r="D588" s="239"/>
      <c r="E588" s="1">
        <v>164000</v>
      </c>
      <c r="F588" s="176">
        <v>164000</v>
      </c>
      <c r="G588" s="125">
        <f t="shared" si="19"/>
        <v>0</v>
      </c>
      <c r="H588" s="241"/>
    </row>
    <row r="589" spans="1:8" ht="17.25">
      <c r="A589" s="3">
        <f>IF(E589="","",COUNTA($E$572:E589))</f>
      </c>
      <c r="B589" s="39" t="s">
        <v>2813</v>
      </c>
      <c r="D589" s="43"/>
      <c r="F589" s="176"/>
      <c r="G589" s="125"/>
      <c r="H589" s="241"/>
    </row>
    <row r="590" spans="1:8" ht="16.5">
      <c r="A590" s="3">
        <f>IF(E590="","",COUNTA($E$572:E590))</f>
        <v>17</v>
      </c>
      <c r="B590" s="143" t="s">
        <v>2814</v>
      </c>
      <c r="C590" s="21" t="s">
        <v>1040</v>
      </c>
      <c r="D590" s="237" t="s">
        <v>2848</v>
      </c>
      <c r="E590" s="1">
        <v>13500</v>
      </c>
      <c r="F590" s="176">
        <v>13500</v>
      </c>
      <c r="G590" s="125">
        <f t="shared" si="19"/>
        <v>0</v>
      </c>
      <c r="H590" s="241"/>
    </row>
    <row r="591" spans="1:8" ht="16.5">
      <c r="A591" s="3">
        <f>IF(E591="","",COUNTA($E$572:E591))</f>
        <v>18</v>
      </c>
      <c r="B591" s="143" t="s">
        <v>2815</v>
      </c>
      <c r="C591" s="21" t="s">
        <v>1040</v>
      </c>
      <c r="D591" s="238"/>
      <c r="E591" s="1">
        <v>9300</v>
      </c>
      <c r="F591" s="176">
        <v>9300</v>
      </c>
      <c r="G591" s="125">
        <f t="shared" si="19"/>
        <v>0</v>
      </c>
      <c r="H591" s="241"/>
    </row>
    <row r="592" spans="1:8" ht="16.5">
      <c r="A592" s="3">
        <f>IF(E592="","",COUNTA($E$572:E592))</f>
        <v>19</v>
      </c>
      <c r="B592" s="143" t="s">
        <v>2816</v>
      </c>
      <c r="C592" s="21" t="s">
        <v>1040</v>
      </c>
      <c r="D592" s="239"/>
      <c r="E592" s="1">
        <v>11400</v>
      </c>
      <c r="F592" s="176">
        <v>11400</v>
      </c>
      <c r="G592" s="125">
        <f t="shared" si="19"/>
        <v>0</v>
      </c>
      <c r="H592" s="241"/>
    </row>
    <row r="593" spans="1:8" ht="17.25">
      <c r="A593" s="3">
        <f>IF(E593="","",COUNTA($E$572:E593))</f>
      </c>
      <c r="B593" s="39" t="s">
        <v>2817</v>
      </c>
      <c r="F593" s="176"/>
      <c r="G593" s="125"/>
      <c r="H593" s="241"/>
    </row>
    <row r="594" spans="1:8" ht="16.5">
      <c r="A594" s="3">
        <f>IF(E594="","",COUNTA($E$572:E594))</f>
        <v>20</v>
      </c>
      <c r="B594" s="143" t="s">
        <v>2818</v>
      </c>
      <c r="C594" s="21" t="s">
        <v>1040</v>
      </c>
      <c r="D594" s="237" t="s">
        <v>2850</v>
      </c>
      <c r="E594" s="1">
        <v>30000</v>
      </c>
      <c r="F594" s="176">
        <v>30000</v>
      </c>
      <c r="G594" s="125">
        <f t="shared" si="19"/>
        <v>0</v>
      </c>
      <c r="H594" s="241"/>
    </row>
    <row r="595" spans="1:8" ht="16.5">
      <c r="A595" s="3">
        <f>IF(E595="","",COUNTA($E$572:E595))</f>
        <v>21</v>
      </c>
      <c r="B595" s="143" t="s">
        <v>2819</v>
      </c>
      <c r="C595" s="21" t="s">
        <v>1040</v>
      </c>
      <c r="D595" s="238"/>
      <c r="E595" s="1">
        <v>50000</v>
      </c>
      <c r="F595" s="176">
        <v>50000</v>
      </c>
      <c r="G595" s="125">
        <f t="shared" si="19"/>
        <v>0</v>
      </c>
      <c r="H595" s="241"/>
    </row>
    <row r="596" spans="1:8" ht="16.5">
      <c r="A596" s="3">
        <f>IF(E596="","",COUNTA($E$572:E596))</f>
        <v>22</v>
      </c>
      <c r="B596" s="143" t="s">
        <v>2820</v>
      </c>
      <c r="C596" s="21" t="s">
        <v>1040</v>
      </c>
      <c r="D596" s="239"/>
      <c r="E596" s="1">
        <v>24600</v>
      </c>
      <c r="F596" s="176">
        <v>24600</v>
      </c>
      <c r="G596" s="125">
        <f t="shared" si="19"/>
        <v>0</v>
      </c>
      <c r="H596" s="241"/>
    </row>
    <row r="597" spans="1:8" ht="17.25">
      <c r="A597" s="3">
        <f>IF(E597="","",COUNTA($E$572:E597))</f>
      </c>
      <c r="B597" s="39" t="s">
        <v>2821</v>
      </c>
      <c r="F597" s="176"/>
      <c r="G597" s="125"/>
      <c r="H597" s="241"/>
    </row>
    <row r="598" spans="1:8" ht="33">
      <c r="A598" s="3">
        <f>IF(E598="","",COUNTA($E$572:E598))</f>
        <v>23</v>
      </c>
      <c r="B598" s="143" t="s">
        <v>2822</v>
      </c>
      <c r="C598" s="21" t="s">
        <v>1040</v>
      </c>
      <c r="D598" s="43" t="s">
        <v>2850</v>
      </c>
      <c r="E598" s="1">
        <v>17000</v>
      </c>
      <c r="F598" s="176">
        <v>17000</v>
      </c>
      <c r="G598" s="125">
        <f t="shared" si="19"/>
        <v>0</v>
      </c>
      <c r="H598" s="241"/>
    </row>
    <row r="599" spans="1:8" ht="17.25">
      <c r="A599" s="3">
        <f>IF(E599="","",COUNTA($E$572:E599))</f>
      </c>
      <c r="B599" s="39" t="s">
        <v>2823</v>
      </c>
      <c r="F599" s="176"/>
      <c r="G599" s="125"/>
      <c r="H599" s="241"/>
    </row>
    <row r="600" spans="1:8" ht="16.5">
      <c r="A600" s="3">
        <f>IF(E600="","",COUNTA($E$572:E600))</f>
        <v>24</v>
      </c>
      <c r="B600" s="143" t="s">
        <v>2824</v>
      </c>
      <c r="C600" s="21" t="s">
        <v>1040</v>
      </c>
      <c r="D600" s="268" t="s">
        <v>2851</v>
      </c>
      <c r="E600" s="1">
        <v>8300</v>
      </c>
      <c r="F600" s="176">
        <v>8300</v>
      </c>
      <c r="G600" s="125">
        <f t="shared" si="19"/>
        <v>0</v>
      </c>
      <c r="H600" s="241"/>
    </row>
    <row r="601" spans="1:8" ht="16.5">
      <c r="A601" s="3">
        <f>IF(E601="","",COUNTA($E$572:E601))</f>
        <v>25</v>
      </c>
      <c r="B601" s="143" t="s">
        <v>2825</v>
      </c>
      <c r="C601" s="21" t="s">
        <v>1040</v>
      </c>
      <c r="D601" s="269"/>
      <c r="E601" s="1">
        <v>10900</v>
      </c>
      <c r="F601" s="176">
        <v>10900</v>
      </c>
      <c r="G601" s="125">
        <f t="shared" si="19"/>
        <v>0</v>
      </c>
      <c r="H601" s="241"/>
    </row>
    <row r="602" spans="1:8" ht="17.25">
      <c r="A602" s="3">
        <f>IF(E602="","",COUNTA($E$572:E602))</f>
      </c>
      <c r="B602" s="39" t="s">
        <v>2826</v>
      </c>
      <c r="F602" s="176"/>
      <c r="G602" s="125"/>
      <c r="H602" s="241"/>
    </row>
    <row r="603" spans="1:8" ht="16.5" customHeight="1">
      <c r="A603" s="3">
        <f>IF(E603="","",COUNTA($E$572:E603))</f>
        <v>26</v>
      </c>
      <c r="B603" s="143" t="s">
        <v>2827</v>
      </c>
      <c r="C603" s="21" t="s">
        <v>1040</v>
      </c>
      <c r="D603" s="237" t="s">
        <v>2852</v>
      </c>
      <c r="E603" s="1">
        <v>184000</v>
      </c>
      <c r="F603" s="176">
        <v>184000</v>
      </c>
      <c r="G603" s="125">
        <f t="shared" si="19"/>
        <v>0</v>
      </c>
      <c r="H603" s="241"/>
    </row>
    <row r="604" spans="1:8" ht="16.5">
      <c r="A604" s="3">
        <f>IF(E604="","",COUNTA($E$572:E604))</f>
        <v>27</v>
      </c>
      <c r="B604" s="143" t="s">
        <v>2828</v>
      </c>
      <c r="C604" s="21" t="s">
        <v>1040</v>
      </c>
      <c r="D604" s="238"/>
      <c r="E604" s="1">
        <v>324000</v>
      </c>
      <c r="F604" s="176">
        <v>324000</v>
      </c>
      <c r="G604" s="125">
        <f t="shared" si="19"/>
        <v>0</v>
      </c>
      <c r="H604" s="241"/>
    </row>
    <row r="605" spans="1:8" ht="16.5">
      <c r="A605" s="3">
        <f>IF(E605="","",COUNTA($E$572:E605))</f>
        <v>28</v>
      </c>
      <c r="B605" s="143" t="s">
        <v>2829</v>
      </c>
      <c r="C605" s="21" t="s">
        <v>1040</v>
      </c>
      <c r="D605" s="238"/>
      <c r="E605" s="1">
        <v>425000</v>
      </c>
      <c r="F605" s="176">
        <v>425000</v>
      </c>
      <c r="G605" s="125">
        <f t="shared" si="19"/>
        <v>0</v>
      </c>
      <c r="H605" s="241"/>
    </row>
    <row r="606" spans="1:8" ht="16.5">
      <c r="A606" s="3">
        <f>IF(E606="","",COUNTA($E$572:E606))</f>
        <v>29</v>
      </c>
      <c r="B606" s="143" t="s">
        <v>2830</v>
      </c>
      <c r="C606" s="21" t="s">
        <v>1040</v>
      </c>
      <c r="D606" s="239"/>
      <c r="E606" s="1">
        <v>74000</v>
      </c>
      <c r="F606" s="176">
        <v>74000</v>
      </c>
      <c r="G606" s="125">
        <f t="shared" si="19"/>
        <v>0</v>
      </c>
      <c r="H606" s="241"/>
    </row>
    <row r="607" spans="1:8" ht="17.25">
      <c r="A607" s="3">
        <f>IF(E607="","",COUNTA($E$572:E607))</f>
      </c>
      <c r="B607" s="39" t="s">
        <v>2831</v>
      </c>
      <c r="F607" s="176"/>
      <c r="G607" s="125"/>
      <c r="H607" s="241"/>
    </row>
    <row r="608" spans="1:8" ht="16.5">
      <c r="A608" s="3">
        <f>IF(E608="","",COUNTA($E$572:E608))</f>
        <v>30</v>
      </c>
      <c r="B608" s="143" t="s">
        <v>2832</v>
      </c>
      <c r="C608" s="21" t="s">
        <v>2792</v>
      </c>
      <c r="D608" s="268" t="s">
        <v>2854</v>
      </c>
      <c r="E608" s="1">
        <v>82700</v>
      </c>
      <c r="F608" s="176">
        <v>82700</v>
      </c>
      <c r="G608" s="125">
        <f t="shared" si="19"/>
        <v>0</v>
      </c>
      <c r="H608" s="241"/>
    </row>
    <row r="609" spans="1:8" ht="16.5">
      <c r="A609" s="3">
        <f>IF(E609="","",COUNTA($E$572:E609))</f>
        <v>31</v>
      </c>
      <c r="B609" s="143" t="s">
        <v>2833</v>
      </c>
      <c r="C609" s="21" t="s">
        <v>2792</v>
      </c>
      <c r="D609" s="280"/>
      <c r="E609" s="1">
        <v>114500</v>
      </c>
      <c r="F609" s="176">
        <v>114500</v>
      </c>
      <c r="G609" s="125">
        <f t="shared" si="19"/>
        <v>0</v>
      </c>
      <c r="H609" s="241"/>
    </row>
    <row r="610" spans="1:8" ht="16.5">
      <c r="A610" s="3">
        <f>IF(E610="","",COUNTA($E$572:E610))</f>
        <v>32</v>
      </c>
      <c r="B610" s="143" t="s">
        <v>2834</v>
      </c>
      <c r="C610" s="21" t="s">
        <v>2792</v>
      </c>
      <c r="D610" s="280"/>
      <c r="E610" s="1">
        <v>138000</v>
      </c>
      <c r="F610" s="176">
        <v>138000</v>
      </c>
      <c r="G610" s="125">
        <f t="shared" si="19"/>
        <v>0</v>
      </c>
      <c r="H610" s="241"/>
    </row>
    <row r="611" spans="1:8" ht="16.5">
      <c r="A611" s="3">
        <f>IF(E611="","",COUNTA($E$572:E611))</f>
        <v>33</v>
      </c>
      <c r="B611" s="143" t="s">
        <v>2835</v>
      </c>
      <c r="C611" s="21" t="s">
        <v>2792</v>
      </c>
      <c r="D611" s="280"/>
      <c r="E611" s="1">
        <v>165600</v>
      </c>
      <c r="F611" s="176">
        <v>165600</v>
      </c>
      <c r="G611" s="125">
        <f t="shared" si="19"/>
        <v>0</v>
      </c>
      <c r="H611" s="241"/>
    </row>
    <row r="612" spans="1:8" ht="16.5">
      <c r="A612" s="3">
        <f>IF(E612="","",COUNTA($E$572:E612))</f>
        <v>34</v>
      </c>
      <c r="B612" s="143" t="s">
        <v>2836</v>
      </c>
      <c r="C612" s="21" t="s">
        <v>2792</v>
      </c>
      <c r="D612" s="280"/>
      <c r="E612" s="1">
        <v>105000</v>
      </c>
      <c r="F612" s="176">
        <v>105000</v>
      </c>
      <c r="G612" s="125">
        <f t="shared" si="19"/>
        <v>0</v>
      </c>
      <c r="H612" s="241"/>
    </row>
    <row r="613" spans="1:8" ht="16.5">
      <c r="A613" s="3">
        <f>IF(E613="","",COUNTA($E$572:E613))</f>
        <v>35</v>
      </c>
      <c r="B613" s="143" t="s">
        <v>2837</v>
      </c>
      <c r="C613" s="21" t="s">
        <v>2792</v>
      </c>
      <c r="D613" s="280"/>
      <c r="E613" s="1">
        <v>144000</v>
      </c>
      <c r="F613" s="176">
        <v>144000</v>
      </c>
      <c r="G613" s="125">
        <f t="shared" si="19"/>
        <v>0</v>
      </c>
      <c r="H613" s="241"/>
    </row>
    <row r="614" spans="1:8" ht="16.5">
      <c r="A614" s="3">
        <f>IF(E614="","",COUNTA($E$572:E614))</f>
        <v>36</v>
      </c>
      <c r="B614" s="143" t="s">
        <v>2838</v>
      </c>
      <c r="C614" s="21" t="s">
        <v>2792</v>
      </c>
      <c r="D614" s="280"/>
      <c r="E614" s="1">
        <v>175000</v>
      </c>
      <c r="F614" s="176">
        <v>175000</v>
      </c>
      <c r="G614" s="125">
        <f t="shared" si="19"/>
        <v>0</v>
      </c>
      <c r="H614" s="241"/>
    </row>
    <row r="615" spans="1:8" ht="16.5">
      <c r="A615" s="3">
        <f>IF(E615="","",COUNTA($E$572:E615))</f>
        <v>37</v>
      </c>
      <c r="B615" s="143" t="s">
        <v>2839</v>
      </c>
      <c r="C615" s="21" t="s">
        <v>2792</v>
      </c>
      <c r="D615" s="269"/>
      <c r="E615" s="1">
        <v>208000</v>
      </c>
      <c r="F615" s="176">
        <v>208000</v>
      </c>
      <c r="G615" s="125">
        <f t="shared" si="19"/>
        <v>0</v>
      </c>
      <c r="H615" s="241"/>
    </row>
    <row r="616" spans="1:8" ht="17.25">
      <c r="A616" s="3">
        <f>IF(E616="","",COUNTA($E$572:E616))</f>
      </c>
      <c r="B616" s="39" t="s">
        <v>2840</v>
      </c>
      <c r="F616" s="176"/>
      <c r="G616" s="125"/>
      <c r="H616" s="241"/>
    </row>
    <row r="617" spans="1:8" ht="16.5">
      <c r="A617" s="3">
        <f>IF(E617="","",COUNTA($E$572:E617))</f>
        <v>38</v>
      </c>
      <c r="B617" s="143" t="s">
        <v>2841</v>
      </c>
      <c r="C617" s="21" t="s">
        <v>1040</v>
      </c>
      <c r="E617" s="1">
        <v>14500</v>
      </c>
      <c r="F617" s="176">
        <v>14500</v>
      </c>
      <c r="G617" s="125">
        <f t="shared" si="19"/>
        <v>0</v>
      </c>
      <c r="H617" s="241"/>
    </row>
    <row r="618" spans="1:8" ht="16.5">
      <c r="A618" s="3">
        <f>IF(E618="","",COUNTA($E$572:E618))</f>
        <v>39</v>
      </c>
      <c r="B618" s="143" t="s">
        <v>2842</v>
      </c>
      <c r="C618" s="21" t="s">
        <v>1040</v>
      </c>
      <c r="E618" s="1">
        <v>6700</v>
      </c>
      <c r="F618" s="176">
        <v>6700</v>
      </c>
      <c r="G618" s="125">
        <f t="shared" si="19"/>
        <v>0</v>
      </c>
      <c r="H618" s="241"/>
    </row>
    <row r="619" spans="1:8" ht="16.5">
      <c r="A619" s="3">
        <f>IF(E619="","",COUNTA($E$572:E619))</f>
        <v>40</v>
      </c>
      <c r="B619" s="143" t="s">
        <v>2843</v>
      </c>
      <c r="C619" s="21" t="s">
        <v>1040</v>
      </c>
      <c r="E619" s="1">
        <v>11500</v>
      </c>
      <c r="F619" s="176">
        <v>11500</v>
      </c>
      <c r="G619" s="125">
        <f t="shared" si="19"/>
        <v>0</v>
      </c>
      <c r="H619" s="241"/>
    </row>
    <row r="620" spans="1:8" ht="16.5">
      <c r="A620" s="3">
        <f>IF(E620="","",COUNTA($E$572:E620))</f>
        <v>41</v>
      </c>
      <c r="B620" s="143" t="s">
        <v>2844</v>
      </c>
      <c r="C620" s="21" t="s">
        <v>1040</v>
      </c>
      <c r="E620" s="1">
        <v>157000</v>
      </c>
      <c r="F620" s="176">
        <v>157000</v>
      </c>
      <c r="G620" s="125">
        <f t="shared" si="19"/>
        <v>0</v>
      </c>
      <c r="H620" s="241"/>
    </row>
    <row r="621" spans="1:8" ht="16.5">
      <c r="A621" s="3">
        <f>IF(E621="","",COUNTA($E$572:E621))</f>
        <v>42</v>
      </c>
      <c r="B621" s="143" t="s">
        <v>2845</v>
      </c>
      <c r="C621" s="21" t="s">
        <v>1040</v>
      </c>
      <c r="E621" s="1">
        <v>154000</v>
      </c>
      <c r="F621" s="176">
        <v>154000</v>
      </c>
      <c r="G621" s="125">
        <f t="shared" si="19"/>
        <v>0</v>
      </c>
      <c r="H621" s="241"/>
    </row>
    <row r="622" spans="1:8" ht="16.5">
      <c r="A622" s="3">
        <f>IF(E622="","",COUNTA($E$572:E622))</f>
        <v>43</v>
      </c>
      <c r="B622" s="143" t="s">
        <v>2846</v>
      </c>
      <c r="C622" s="21" t="s">
        <v>1040</v>
      </c>
      <c r="D622" s="268" t="s">
        <v>2853</v>
      </c>
      <c r="E622" s="1">
        <v>170000</v>
      </c>
      <c r="F622" s="176">
        <v>170000</v>
      </c>
      <c r="G622" s="125">
        <f t="shared" si="19"/>
        <v>0</v>
      </c>
      <c r="H622" s="241"/>
    </row>
    <row r="623" spans="1:8" ht="16.5">
      <c r="A623" s="3">
        <f>IF(E623="","",COUNTA($E$572:E623))</f>
        <v>44</v>
      </c>
      <c r="B623" s="143" t="s">
        <v>2847</v>
      </c>
      <c r="C623" s="21" t="s">
        <v>1040</v>
      </c>
      <c r="D623" s="269"/>
      <c r="E623" s="1">
        <v>165000</v>
      </c>
      <c r="F623" s="176">
        <v>165000</v>
      </c>
      <c r="G623" s="125">
        <f t="shared" si="19"/>
        <v>0</v>
      </c>
      <c r="H623" s="242"/>
    </row>
    <row r="624" spans="1:7" ht="16.5">
      <c r="A624" s="20" t="s">
        <v>1692</v>
      </c>
      <c r="B624" s="23" t="s">
        <v>2095</v>
      </c>
      <c r="G624" s="125"/>
    </row>
    <row r="625" spans="1:8" s="69" customFormat="1" ht="17.25">
      <c r="A625" s="20">
        <f>IF(F625="","",COUNTA($F$625:F625))</f>
      </c>
      <c r="B625" s="95" t="s">
        <v>953</v>
      </c>
      <c r="C625" s="52"/>
      <c r="D625" s="68"/>
      <c r="E625" s="2"/>
      <c r="F625" s="2"/>
      <c r="G625" s="125"/>
      <c r="H625" s="247" t="s">
        <v>2271</v>
      </c>
    </row>
    <row r="626" spans="1:8" ht="16.5">
      <c r="A626" s="3">
        <f>IF(F626="","",COUNTA($F$625:F626))</f>
        <v>1</v>
      </c>
      <c r="B626" s="25" t="s">
        <v>944</v>
      </c>
      <c r="C626" s="44" t="s">
        <v>2097</v>
      </c>
      <c r="E626" s="13">
        <f>2818000</f>
        <v>2818000</v>
      </c>
      <c r="F626" s="13">
        <f>2818000</f>
        <v>2818000</v>
      </c>
      <c r="G626" s="125">
        <f t="shared" si="19"/>
        <v>0</v>
      </c>
      <c r="H626" s="247"/>
    </row>
    <row r="627" spans="1:8" ht="16.5">
      <c r="A627" s="3">
        <f>IF(F627="","",COUNTA($F$625:F627))</f>
        <v>2</v>
      </c>
      <c r="B627" s="25" t="s">
        <v>943</v>
      </c>
      <c r="C627" s="44" t="s">
        <v>2097</v>
      </c>
      <c r="E627" s="13">
        <f>2409000</f>
        <v>2409000</v>
      </c>
      <c r="F627" s="13">
        <f>2409000</f>
        <v>2409000</v>
      </c>
      <c r="G627" s="125">
        <f t="shared" si="19"/>
        <v>0</v>
      </c>
      <c r="H627" s="247"/>
    </row>
    <row r="628" spans="1:8" ht="16.5">
      <c r="A628" s="3">
        <f>IF(F628="","",COUNTA($F$625:F628))</f>
        <v>3</v>
      </c>
      <c r="B628" s="25" t="s">
        <v>945</v>
      </c>
      <c r="C628" s="44" t="s">
        <v>2097</v>
      </c>
      <c r="E628" s="13">
        <f>1682000</f>
        <v>1682000</v>
      </c>
      <c r="F628" s="13">
        <f>1682000</f>
        <v>1682000</v>
      </c>
      <c r="G628" s="125">
        <f t="shared" si="19"/>
        <v>0</v>
      </c>
      <c r="H628" s="247"/>
    </row>
    <row r="629" spans="1:8" ht="33">
      <c r="A629" s="3">
        <f>IF(F629="","",COUNTA($F$625:F629))</f>
        <v>4</v>
      </c>
      <c r="B629" s="25" t="s">
        <v>946</v>
      </c>
      <c r="C629" s="44" t="s">
        <v>2097</v>
      </c>
      <c r="E629" s="13">
        <f>1545000</f>
        <v>1545000</v>
      </c>
      <c r="F629" s="13">
        <f>1545000</f>
        <v>1545000</v>
      </c>
      <c r="G629" s="125">
        <f t="shared" si="19"/>
        <v>0</v>
      </c>
      <c r="H629" s="247"/>
    </row>
    <row r="630" spans="1:8" ht="33">
      <c r="A630" s="3">
        <f>IF(F630="","",COUNTA($F$625:F630))</f>
        <v>5</v>
      </c>
      <c r="B630" s="25" t="s">
        <v>947</v>
      </c>
      <c r="C630" s="44" t="s">
        <v>2097</v>
      </c>
      <c r="E630" s="13">
        <f>3227000</f>
        <v>3227000</v>
      </c>
      <c r="F630" s="13">
        <f>3227000</f>
        <v>3227000</v>
      </c>
      <c r="G630" s="125">
        <f t="shared" si="19"/>
        <v>0</v>
      </c>
      <c r="H630" s="247"/>
    </row>
    <row r="631" spans="1:8" ht="33">
      <c r="A631" s="3">
        <f>IF(F631="","",COUNTA($F$625:F631))</f>
        <v>6</v>
      </c>
      <c r="B631" s="25" t="s">
        <v>948</v>
      </c>
      <c r="C631" s="44" t="s">
        <v>2097</v>
      </c>
      <c r="E631" s="13">
        <f>2955000</f>
        <v>2955000</v>
      </c>
      <c r="F631" s="13">
        <f>2955000</f>
        <v>2955000</v>
      </c>
      <c r="G631" s="125">
        <f t="shared" si="19"/>
        <v>0</v>
      </c>
      <c r="H631" s="247"/>
    </row>
    <row r="632" spans="1:8" ht="33">
      <c r="A632" s="3">
        <f>IF(F632="","",COUNTA($F$625:F632))</f>
        <v>7</v>
      </c>
      <c r="B632" s="25" t="s">
        <v>949</v>
      </c>
      <c r="C632" s="44" t="s">
        <v>2097</v>
      </c>
      <c r="E632" s="13">
        <f>1655000</f>
        <v>1655000</v>
      </c>
      <c r="F632" s="13">
        <f>1655000</f>
        <v>1655000</v>
      </c>
      <c r="G632" s="125">
        <f t="shared" si="19"/>
        <v>0</v>
      </c>
      <c r="H632" s="247"/>
    </row>
    <row r="633" spans="1:8" ht="33">
      <c r="A633" s="3">
        <f>IF(F633="","",COUNTA($F$625:F633))</f>
        <v>8</v>
      </c>
      <c r="B633" s="25" t="s">
        <v>950</v>
      </c>
      <c r="C633" s="44" t="s">
        <v>2097</v>
      </c>
      <c r="E633" s="13">
        <f>2368000</f>
        <v>2368000</v>
      </c>
      <c r="F633" s="13">
        <f>2368000</f>
        <v>2368000</v>
      </c>
      <c r="G633" s="125">
        <f t="shared" si="19"/>
        <v>0</v>
      </c>
      <c r="H633" s="247"/>
    </row>
    <row r="634" spans="1:8" ht="16.5">
      <c r="A634" s="3">
        <f>IF(F634="","",COUNTA($F$625:F634))</f>
        <v>9</v>
      </c>
      <c r="B634" s="96" t="s">
        <v>951</v>
      </c>
      <c r="C634" s="44" t="s">
        <v>2097</v>
      </c>
      <c r="E634" s="13">
        <f>2682000</f>
        <v>2682000</v>
      </c>
      <c r="F634" s="13">
        <f>2682000</f>
        <v>2682000</v>
      </c>
      <c r="G634" s="125">
        <f t="shared" si="19"/>
        <v>0</v>
      </c>
      <c r="H634" s="247"/>
    </row>
    <row r="635" spans="1:8" ht="16.5">
      <c r="A635" s="3">
        <f>IF(F635="","",COUNTA($F$625:F635))</f>
        <v>10</v>
      </c>
      <c r="B635" s="25" t="s">
        <v>952</v>
      </c>
      <c r="C635" s="44" t="s">
        <v>2098</v>
      </c>
      <c r="E635" s="13">
        <f>477000</f>
        <v>477000</v>
      </c>
      <c r="F635" s="13">
        <f>477000</f>
        <v>477000</v>
      </c>
      <c r="G635" s="125">
        <f t="shared" si="19"/>
        <v>0</v>
      </c>
      <c r="H635" s="247"/>
    </row>
    <row r="636" spans="1:8" ht="17.25">
      <c r="A636" s="3">
        <f>IF(F636="","",COUNTA($F$625:F636))</f>
      </c>
      <c r="B636" s="95" t="s">
        <v>2099</v>
      </c>
      <c r="C636" s="44"/>
      <c r="E636" s="13"/>
      <c r="F636" s="13"/>
      <c r="G636" s="125"/>
      <c r="H636" s="247"/>
    </row>
    <row r="637" spans="1:8" ht="16.5">
      <c r="A637" s="3">
        <f>IF(F637="","",COUNTA($F$625:F637))</f>
        <v>11</v>
      </c>
      <c r="B637" s="25" t="s">
        <v>954</v>
      </c>
      <c r="C637" s="44" t="s">
        <v>2097</v>
      </c>
      <c r="E637" s="13">
        <f>955000</f>
        <v>955000</v>
      </c>
      <c r="F637" s="13">
        <f>955000</f>
        <v>955000</v>
      </c>
      <c r="G637" s="125">
        <f t="shared" si="19"/>
        <v>0</v>
      </c>
      <c r="H637" s="247"/>
    </row>
    <row r="638" spans="1:8" ht="16.5">
      <c r="A638" s="3">
        <f>IF(F638="","",COUNTA($F$625:F638))</f>
        <v>12</v>
      </c>
      <c r="B638" s="25" t="s">
        <v>955</v>
      </c>
      <c r="C638" s="44" t="s">
        <v>2097</v>
      </c>
      <c r="E638" s="13">
        <f>2500000</f>
        <v>2500000</v>
      </c>
      <c r="F638" s="13">
        <f>2500000</f>
        <v>2500000</v>
      </c>
      <c r="G638" s="125">
        <f t="shared" si="19"/>
        <v>0</v>
      </c>
      <c r="H638" s="247"/>
    </row>
    <row r="639" spans="1:8" ht="16.5">
      <c r="A639" s="3">
        <f>IF(F639="","",COUNTA($F$625:F639))</f>
        <v>13</v>
      </c>
      <c r="B639" s="25" t="s">
        <v>956</v>
      </c>
      <c r="C639" s="44" t="s">
        <v>2097</v>
      </c>
      <c r="E639" s="13">
        <f>1464000</f>
        <v>1464000</v>
      </c>
      <c r="F639" s="13">
        <f>1464000</f>
        <v>1464000</v>
      </c>
      <c r="G639" s="125">
        <f t="shared" si="19"/>
        <v>0</v>
      </c>
      <c r="H639" s="247"/>
    </row>
    <row r="640" spans="1:8" ht="16.5">
      <c r="A640" s="3">
        <f>IF(F640="","",COUNTA($F$625:F640))</f>
        <v>14</v>
      </c>
      <c r="B640" s="25" t="s">
        <v>957</v>
      </c>
      <c r="C640" s="44" t="s">
        <v>2097</v>
      </c>
      <c r="E640" s="13">
        <f>1682000</f>
        <v>1682000</v>
      </c>
      <c r="F640" s="13">
        <f>1682000</f>
        <v>1682000</v>
      </c>
      <c r="G640" s="125">
        <f t="shared" si="19"/>
        <v>0</v>
      </c>
      <c r="H640" s="247"/>
    </row>
    <row r="641" spans="1:8" ht="16.5">
      <c r="A641" s="3">
        <f>IF(F641="","",COUNTA($F$625:F641))</f>
        <v>15</v>
      </c>
      <c r="B641" s="25" t="s">
        <v>2101</v>
      </c>
      <c r="C641" s="44" t="s">
        <v>2098</v>
      </c>
      <c r="E641" s="13">
        <f>268000</f>
        <v>268000</v>
      </c>
      <c r="F641" s="13">
        <f>268000</f>
        <v>268000</v>
      </c>
      <c r="G641" s="125">
        <f t="shared" si="19"/>
        <v>0</v>
      </c>
      <c r="H641" s="247"/>
    </row>
    <row r="642" spans="1:8" ht="16.5">
      <c r="A642" s="3">
        <f>IF(F642="","",COUNTA($F$625:F642))</f>
        <v>16</v>
      </c>
      <c r="B642" s="25" t="s">
        <v>2102</v>
      </c>
      <c r="C642" s="44" t="s">
        <v>2098</v>
      </c>
      <c r="E642" s="13">
        <f>364000</f>
        <v>364000</v>
      </c>
      <c r="F642" s="13">
        <f>364000</f>
        <v>364000</v>
      </c>
      <c r="G642" s="125">
        <f t="shared" si="19"/>
        <v>0</v>
      </c>
      <c r="H642" s="247"/>
    </row>
    <row r="643" spans="1:8" ht="17.25">
      <c r="A643" s="3">
        <f>IF(F643="","",COUNTA($F$625:F643))</f>
      </c>
      <c r="B643" s="32" t="s">
        <v>1734</v>
      </c>
      <c r="C643" s="44"/>
      <c r="E643" s="8"/>
      <c r="F643" s="8"/>
      <c r="G643" s="125"/>
      <c r="H643" s="247" t="s">
        <v>1218</v>
      </c>
    </row>
    <row r="644" spans="1:8" ht="33">
      <c r="A644" s="3">
        <f>IF(F644="","",COUNTA($F$625:F644))</f>
        <v>17</v>
      </c>
      <c r="B644" s="28" t="s">
        <v>2103</v>
      </c>
      <c r="C644" s="44" t="s">
        <v>2096</v>
      </c>
      <c r="E644" s="8">
        <v>1150000</v>
      </c>
      <c r="F644" s="8">
        <v>1150000</v>
      </c>
      <c r="G644" s="125">
        <f t="shared" si="19"/>
        <v>0</v>
      </c>
      <c r="H644" s="247"/>
    </row>
    <row r="645" spans="1:8" ht="16.5">
      <c r="A645" s="3">
        <f>IF(F645="","",COUNTA($F$625:F645))</f>
        <v>18</v>
      </c>
      <c r="B645" s="28" t="s">
        <v>2104</v>
      </c>
      <c r="C645" s="44" t="s">
        <v>2097</v>
      </c>
      <c r="E645" s="8">
        <v>3295000</v>
      </c>
      <c r="F645" s="8">
        <v>3295000</v>
      </c>
      <c r="G645" s="125">
        <f t="shared" si="19"/>
        <v>0</v>
      </c>
      <c r="H645" s="247"/>
    </row>
    <row r="646" spans="1:8" ht="16.5">
      <c r="A646" s="3">
        <f>IF(F646="","",COUNTA($F$625:F646))</f>
        <v>19</v>
      </c>
      <c r="B646" s="28" t="s">
        <v>2105</v>
      </c>
      <c r="C646" s="44" t="s">
        <v>2097</v>
      </c>
      <c r="E646" s="8">
        <v>2835000</v>
      </c>
      <c r="F646" s="8">
        <v>2835000</v>
      </c>
      <c r="G646" s="125">
        <f t="shared" si="19"/>
        <v>0</v>
      </c>
      <c r="H646" s="247"/>
    </row>
    <row r="647" spans="1:8" ht="16.5">
      <c r="A647" s="3">
        <f>IF(F647="","",COUNTA($F$625:F647))</f>
        <v>20</v>
      </c>
      <c r="B647" s="28" t="s">
        <v>2106</v>
      </c>
      <c r="C647" s="44" t="s">
        <v>2097</v>
      </c>
      <c r="E647" s="8">
        <v>1795000</v>
      </c>
      <c r="F647" s="8">
        <v>1795000</v>
      </c>
      <c r="G647" s="125">
        <f t="shared" si="19"/>
        <v>0</v>
      </c>
      <c r="H647" s="247"/>
    </row>
    <row r="648" spans="1:8" ht="16.5">
      <c r="A648" s="3">
        <f>IF(F648="","",COUNTA($F$625:F648))</f>
        <v>21</v>
      </c>
      <c r="B648" s="28" t="s">
        <v>2107</v>
      </c>
      <c r="C648" s="44" t="s">
        <v>2097</v>
      </c>
      <c r="E648" s="8">
        <v>828000</v>
      </c>
      <c r="F648" s="8">
        <v>828000</v>
      </c>
      <c r="G648" s="125">
        <f t="shared" si="19"/>
        <v>0</v>
      </c>
      <c r="H648" s="247"/>
    </row>
    <row r="649" spans="1:8" ht="16.5">
      <c r="A649" s="3">
        <f>IF(F649="","",COUNTA($F$625:F649))</f>
        <v>22</v>
      </c>
      <c r="B649" s="28" t="s">
        <v>2108</v>
      </c>
      <c r="C649" s="44" t="s">
        <v>2097</v>
      </c>
      <c r="E649" s="8">
        <v>1465000</v>
      </c>
      <c r="F649" s="8">
        <v>1465000</v>
      </c>
      <c r="G649" s="125">
        <f t="shared" si="19"/>
        <v>0</v>
      </c>
      <c r="H649" s="247"/>
    </row>
    <row r="650" spans="1:8" ht="33">
      <c r="A650" s="3">
        <f>IF(F650="","",COUNTA($F$625:F650))</f>
        <v>23</v>
      </c>
      <c r="B650" s="28" t="s">
        <v>2109</v>
      </c>
      <c r="C650" s="44" t="s">
        <v>2096</v>
      </c>
      <c r="E650" s="8">
        <v>1350000</v>
      </c>
      <c r="F650" s="8">
        <v>1350000</v>
      </c>
      <c r="G650" s="125">
        <f t="shared" si="19"/>
        <v>0</v>
      </c>
      <c r="H650" s="247"/>
    </row>
    <row r="651" spans="1:8" ht="33">
      <c r="A651" s="3">
        <f>IF(F651="","",COUNTA($F$625:F651))</f>
        <v>24</v>
      </c>
      <c r="B651" s="28" t="s">
        <v>2110</v>
      </c>
      <c r="C651" s="44" t="s">
        <v>2097</v>
      </c>
      <c r="E651" s="8">
        <v>3550000</v>
      </c>
      <c r="F651" s="8">
        <v>3550000</v>
      </c>
      <c r="G651" s="125">
        <f t="shared" si="19"/>
        <v>0</v>
      </c>
      <c r="H651" s="247"/>
    </row>
    <row r="652" spans="1:8" ht="16.5">
      <c r="A652" s="3">
        <f>IF(F652="","",COUNTA($F$625:F652))</f>
        <v>25</v>
      </c>
      <c r="B652" s="28" t="s">
        <v>2111</v>
      </c>
      <c r="C652" s="44" t="s">
        <v>2097</v>
      </c>
      <c r="E652" s="8">
        <v>2995000</v>
      </c>
      <c r="F652" s="8">
        <v>2995000</v>
      </c>
      <c r="G652" s="125">
        <f t="shared" si="19"/>
        <v>0</v>
      </c>
      <c r="H652" s="247"/>
    </row>
    <row r="653" spans="1:8" ht="16.5">
      <c r="A653" s="3">
        <f>IF(F653="","",COUNTA($F$625:F653))</f>
        <v>26</v>
      </c>
      <c r="B653" s="28" t="s">
        <v>2112</v>
      </c>
      <c r="C653" s="44" t="s">
        <v>2097</v>
      </c>
      <c r="E653" s="8">
        <v>1737000</v>
      </c>
      <c r="F653" s="8">
        <v>1737000</v>
      </c>
      <c r="G653" s="125">
        <f t="shared" si="19"/>
        <v>0</v>
      </c>
      <c r="H653" s="247"/>
    </row>
    <row r="654" spans="1:8" ht="16.5">
      <c r="A654" s="3">
        <f>IF(F654="","",COUNTA($F$625:F654))</f>
        <v>27</v>
      </c>
      <c r="B654" s="28" t="s">
        <v>2113</v>
      </c>
      <c r="C654" s="44" t="s">
        <v>2097</v>
      </c>
      <c r="E654" s="8">
        <v>2865000</v>
      </c>
      <c r="F654" s="8">
        <v>2865000</v>
      </c>
      <c r="G654" s="125">
        <f t="shared" si="19"/>
        <v>0</v>
      </c>
      <c r="H654" s="247"/>
    </row>
    <row r="655" spans="1:8" ht="16.5">
      <c r="A655" s="3">
        <f>IF(F655="","",COUNTA($F$625:F655))</f>
        <v>28</v>
      </c>
      <c r="B655" s="28" t="s">
        <v>2114</v>
      </c>
      <c r="C655" s="44" t="s">
        <v>2097</v>
      </c>
      <c r="E655" s="8">
        <v>2515000</v>
      </c>
      <c r="F655" s="8">
        <v>2515000</v>
      </c>
      <c r="G655" s="125">
        <f t="shared" si="19"/>
        <v>0</v>
      </c>
      <c r="H655" s="247"/>
    </row>
    <row r="656" spans="1:8" ht="33">
      <c r="A656" s="3">
        <f>IF(F656="","",COUNTA($F$625:F656))</f>
        <v>29</v>
      </c>
      <c r="B656" s="28" t="s">
        <v>2115</v>
      </c>
      <c r="C656" s="44" t="s">
        <v>2097</v>
      </c>
      <c r="E656" s="8">
        <v>2355000</v>
      </c>
      <c r="F656" s="8">
        <v>2355000</v>
      </c>
      <c r="G656" s="125">
        <f t="shared" si="19"/>
        <v>0</v>
      </c>
      <c r="H656" s="247"/>
    </row>
    <row r="657" spans="1:8" ht="16.5">
      <c r="A657" s="3">
        <f>IF(F657="","",COUNTA($F$625:F657))</f>
        <v>30</v>
      </c>
      <c r="B657" s="28" t="s">
        <v>2116</v>
      </c>
      <c r="C657" s="44" t="s">
        <v>2097</v>
      </c>
      <c r="E657" s="8">
        <v>1785000</v>
      </c>
      <c r="F657" s="8">
        <v>1785000</v>
      </c>
      <c r="G657" s="125">
        <f t="shared" si="19"/>
        <v>0</v>
      </c>
      <c r="H657" s="247"/>
    </row>
    <row r="658" spans="1:8" ht="16.5">
      <c r="A658" s="3">
        <f>IF(F658="","",COUNTA($F$625:F658))</f>
        <v>31</v>
      </c>
      <c r="B658" s="28" t="s">
        <v>2117</v>
      </c>
      <c r="C658" s="44" t="s">
        <v>2097</v>
      </c>
      <c r="E658" s="8">
        <v>2825000</v>
      </c>
      <c r="F658" s="8">
        <v>2825000</v>
      </c>
      <c r="G658" s="125">
        <f t="shared" si="19"/>
        <v>0</v>
      </c>
      <c r="H658" s="247"/>
    </row>
    <row r="659" spans="1:8" ht="16.5">
      <c r="A659" s="3">
        <f>IF(F659="","",COUNTA($F$625:F659))</f>
        <v>32</v>
      </c>
      <c r="B659" s="28" t="s">
        <v>2118</v>
      </c>
      <c r="C659" s="44" t="s">
        <v>2097</v>
      </c>
      <c r="E659" s="8">
        <v>3672500</v>
      </c>
      <c r="F659" s="8">
        <v>3672500</v>
      </c>
      <c r="G659" s="125">
        <f t="shared" si="19"/>
        <v>0</v>
      </c>
      <c r="H659" s="247"/>
    </row>
    <row r="660" spans="1:8" ht="16.5">
      <c r="A660" s="3">
        <f>IF(F660="","",COUNTA($F$625:F660))</f>
        <v>33</v>
      </c>
      <c r="B660" s="28" t="s">
        <v>2119</v>
      </c>
      <c r="C660" s="44" t="s">
        <v>2097</v>
      </c>
      <c r="E660" s="8">
        <v>865000</v>
      </c>
      <c r="F660" s="8">
        <v>865000</v>
      </c>
      <c r="G660" s="125">
        <f t="shared" si="19"/>
        <v>0</v>
      </c>
      <c r="H660" s="247"/>
    </row>
    <row r="661" spans="1:8" ht="17.25">
      <c r="A661" s="3">
        <f>IF(F661="","",COUNTA($F$625:F661))</f>
      </c>
      <c r="B661" s="32" t="s">
        <v>1735</v>
      </c>
      <c r="C661" s="44"/>
      <c r="E661" s="8"/>
      <c r="F661" s="8"/>
      <c r="G661" s="125"/>
      <c r="H661" s="247" t="s">
        <v>1217</v>
      </c>
    </row>
    <row r="662" spans="1:8" ht="16.5">
      <c r="A662" s="3">
        <f>IF(F662="","",COUNTA($F$625:F662))</f>
      </c>
      <c r="B662" s="27" t="s">
        <v>2120</v>
      </c>
      <c r="C662" s="52"/>
      <c r="E662" s="10"/>
      <c r="F662" s="10"/>
      <c r="G662" s="125"/>
      <c r="H662" s="247"/>
    </row>
    <row r="663" spans="1:8" ht="33">
      <c r="A663" s="3">
        <f>IF(F663="","",COUNTA($F$625:F663))</f>
        <v>34</v>
      </c>
      <c r="B663" s="28" t="s">
        <v>2121</v>
      </c>
      <c r="C663" s="44" t="s">
        <v>2097</v>
      </c>
      <c r="E663" s="8">
        <v>1786400</v>
      </c>
      <c r="F663" s="8">
        <v>1786400</v>
      </c>
      <c r="G663" s="125">
        <f aca="true" t="shared" si="20" ref="G663:G727">(E663-F663)/E663</f>
        <v>0</v>
      </c>
      <c r="H663" s="247"/>
    </row>
    <row r="664" spans="1:8" ht="16.5">
      <c r="A664" s="3">
        <f>IF(F664="","",COUNTA($F$625:F664))</f>
        <v>35</v>
      </c>
      <c r="B664" s="28" t="s">
        <v>2122</v>
      </c>
      <c r="C664" s="44" t="s">
        <v>2097</v>
      </c>
      <c r="E664" s="8">
        <v>1700160</v>
      </c>
      <c r="F664" s="8">
        <v>1700160</v>
      </c>
      <c r="G664" s="125">
        <f t="shared" si="20"/>
        <v>0</v>
      </c>
      <c r="H664" s="247"/>
    </row>
    <row r="665" spans="1:8" ht="16.5">
      <c r="A665" s="3">
        <f>IF(F665="","",COUNTA($F$625:F665))</f>
        <v>36</v>
      </c>
      <c r="B665" s="28" t="s">
        <v>2123</v>
      </c>
      <c r="C665" s="44" t="s">
        <v>2097</v>
      </c>
      <c r="E665" s="8">
        <v>1841840</v>
      </c>
      <c r="F665" s="8">
        <v>1841840</v>
      </c>
      <c r="G665" s="125">
        <f t="shared" si="20"/>
        <v>0</v>
      </c>
      <c r="H665" s="247"/>
    </row>
    <row r="666" spans="1:8" ht="16.5">
      <c r="A666" s="3">
        <f>IF(F666="","",COUNTA($F$625:F666))</f>
        <v>37</v>
      </c>
      <c r="B666" s="28" t="s">
        <v>2124</v>
      </c>
      <c r="C666" s="44" t="s">
        <v>2097</v>
      </c>
      <c r="E666" s="8">
        <v>1267728</v>
      </c>
      <c r="F666" s="8">
        <v>1267728</v>
      </c>
      <c r="G666" s="125">
        <f t="shared" si="20"/>
        <v>0</v>
      </c>
      <c r="H666" s="247"/>
    </row>
    <row r="667" spans="1:8" ht="16.5">
      <c r="A667" s="3">
        <f>IF(F667="","",COUNTA($F$625:F667))</f>
      </c>
      <c r="B667" s="27" t="s">
        <v>2125</v>
      </c>
      <c r="C667" s="44"/>
      <c r="E667" s="8"/>
      <c r="F667" s="8"/>
      <c r="G667" s="125"/>
      <c r="H667" s="247"/>
    </row>
    <row r="668" spans="1:8" ht="16.5">
      <c r="A668" s="3">
        <f>IF(F668="","",COUNTA($F$625:F668))</f>
        <v>38</v>
      </c>
      <c r="B668" s="28" t="s">
        <v>2126</v>
      </c>
      <c r="C668" s="44" t="s">
        <v>2097</v>
      </c>
      <c r="E668" s="8">
        <v>2507120</v>
      </c>
      <c r="F668" s="8">
        <v>2507120</v>
      </c>
      <c r="G668" s="125">
        <f t="shared" si="20"/>
        <v>0</v>
      </c>
      <c r="H668" s="247"/>
    </row>
    <row r="669" spans="1:8" ht="16.5">
      <c r="A669" s="3">
        <f>IF(F669="","",COUNTA($F$625:F669))</f>
      </c>
      <c r="B669" s="27" t="s">
        <v>2127</v>
      </c>
      <c r="C669" s="44"/>
      <c r="E669" s="8"/>
      <c r="F669" s="8"/>
      <c r="G669" s="125"/>
      <c r="H669" s="247"/>
    </row>
    <row r="670" spans="1:8" ht="16.5">
      <c r="A670" s="3">
        <f>IF(F670="","",COUNTA($F$625:F670))</f>
        <v>39</v>
      </c>
      <c r="B670" s="28" t="s">
        <v>2128</v>
      </c>
      <c r="C670" s="44" t="s">
        <v>2097</v>
      </c>
      <c r="E670" s="8">
        <v>2962960</v>
      </c>
      <c r="F670" s="8">
        <v>2962960</v>
      </c>
      <c r="G670" s="125">
        <f t="shared" si="20"/>
        <v>0</v>
      </c>
      <c r="H670" s="247"/>
    </row>
    <row r="671" spans="1:8" ht="16.5">
      <c r="A671" s="3">
        <f>IF(F671="","",COUNTA($F$625:F671))</f>
        <v>40</v>
      </c>
      <c r="B671" s="28" t="s">
        <v>2129</v>
      </c>
      <c r="C671" s="44" t="s">
        <v>2097</v>
      </c>
      <c r="E671" s="8">
        <v>1946560</v>
      </c>
      <c r="F671" s="8">
        <v>1946560</v>
      </c>
      <c r="G671" s="125">
        <f t="shared" si="20"/>
        <v>0</v>
      </c>
      <c r="H671" s="247"/>
    </row>
    <row r="672" spans="1:8" ht="16.5">
      <c r="A672" s="3">
        <f>IF(F672="","",COUNTA($F$625:F672))</f>
      </c>
      <c r="B672" s="27" t="s">
        <v>2130</v>
      </c>
      <c r="C672" s="44"/>
      <c r="E672" s="8"/>
      <c r="F672" s="8"/>
      <c r="G672" s="125"/>
      <c r="H672" s="247"/>
    </row>
    <row r="673" spans="1:8" ht="16.5">
      <c r="A673" s="3">
        <f>IF(F673="","",COUNTA($F$625:F673))</f>
        <v>41</v>
      </c>
      <c r="B673" s="28" t="s">
        <v>2131</v>
      </c>
      <c r="C673" s="44" t="s">
        <v>2097</v>
      </c>
      <c r="E673" s="8">
        <v>3123120</v>
      </c>
      <c r="F673" s="8">
        <v>3123120</v>
      </c>
      <c r="G673" s="125">
        <f t="shared" si="20"/>
        <v>0</v>
      </c>
      <c r="H673" s="247"/>
    </row>
    <row r="674" spans="1:8" ht="16.5">
      <c r="A674" s="3">
        <f>IF(F674="","",COUNTA($F$625:F674))</f>
        <v>42</v>
      </c>
      <c r="B674" s="28" t="s">
        <v>2132</v>
      </c>
      <c r="C674" s="44" t="s">
        <v>2097</v>
      </c>
      <c r="E674" s="8">
        <v>3307920</v>
      </c>
      <c r="F674" s="8">
        <v>3307920</v>
      </c>
      <c r="G674" s="125">
        <f t="shared" si="20"/>
        <v>0</v>
      </c>
      <c r="H674" s="247"/>
    </row>
    <row r="675" spans="1:8" ht="16.5">
      <c r="A675" s="3">
        <f>IF(F675="","",COUNTA($F$625:F675))</f>
      </c>
      <c r="B675" s="27" t="s">
        <v>2133</v>
      </c>
      <c r="C675" s="44"/>
      <c r="E675" s="8"/>
      <c r="F675" s="8"/>
      <c r="G675" s="125"/>
      <c r="H675" s="247"/>
    </row>
    <row r="676" spans="1:8" ht="16.5">
      <c r="A676" s="3">
        <f>IF(F676="","",COUNTA($F$625:F676))</f>
        <v>43</v>
      </c>
      <c r="B676" s="28" t="s">
        <v>2134</v>
      </c>
      <c r="C676" s="44" t="s">
        <v>2098</v>
      </c>
      <c r="E676" s="8">
        <v>523600</v>
      </c>
      <c r="F676" s="8">
        <v>523600</v>
      </c>
      <c r="G676" s="125">
        <f t="shared" si="20"/>
        <v>0</v>
      </c>
      <c r="H676" s="247"/>
    </row>
    <row r="677" spans="1:8" ht="17.25">
      <c r="A677" s="3">
        <f>IF(F677="","",COUNTA($F$625:F677))</f>
      </c>
      <c r="B677" s="32" t="s">
        <v>1736</v>
      </c>
      <c r="C677" s="52"/>
      <c r="E677" s="10"/>
      <c r="F677" s="10"/>
      <c r="G677" s="125"/>
      <c r="H677" s="247" t="s">
        <v>1206</v>
      </c>
    </row>
    <row r="678" spans="1:8" ht="16.5">
      <c r="A678" s="3">
        <f>IF(F678="","",COUNTA($F$625:F678))</f>
        <v>44</v>
      </c>
      <c r="B678" s="28" t="s">
        <v>2135</v>
      </c>
      <c r="C678" s="44" t="s">
        <v>2098</v>
      </c>
      <c r="E678" s="13">
        <v>531000</v>
      </c>
      <c r="F678" s="179">
        <v>531000</v>
      </c>
      <c r="G678" s="125">
        <f t="shared" si="20"/>
        <v>0</v>
      </c>
      <c r="H678" s="247"/>
    </row>
    <row r="679" spans="1:9" ht="16.5">
      <c r="A679" s="3">
        <f>IF(F679="","",COUNTA($F$625:F679))</f>
        <v>45</v>
      </c>
      <c r="B679" s="28" t="s">
        <v>2136</v>
      </c>
      <c r="C679" s="44" t="s">
        <v>2098</v>
      </c>
      <c r="E679" s="13">
        <v>575000</v>
      </c>
      <c r="F679" s="179">
        <v>575000</v>
      </c>
      <c r="G679" s="125">
        <f t="shared" si="20"/>
        <v>0</v>
      </c>
      <c r="H679" s="247"/>
      <c r="I679" s="188">
        <f>MIN(G678:G688)</f>
        <v>0</v>
      </c>
    </row>
    <row r="680" spans="1:9" ht="33">
      <c r="A680" s="3">
        <f>IF(F680="","",COUNTA($F$625:F680))</f>
        <v>46</v>
      </c>
      <c r="B680" s="28" t="s">
        <v>2137</v>
      </c>
      <c r="C680" s="44" t="s">
        <v>2097</v>
      </c>
      <c r="E680" s="13">
        <v>1921000</v>
      </c>
      <c r="F680" s="179">
        <v>1921000</v>
      </c>
      <c r="G680" s="125">
        <f t="shared" si="20"/>
        <v>0</v>
      </c>
      <c r="H680" s="247"/>
      <c r="I680" s="188">
        <f>MAX(G678:G688)</f>
        <v>0</v>
      </c>
    </row>
    <row r="681" spans="1:8" ht="16.5">
      <c r="A681" s="3">
        <f>IF(F681="","",COUNTA($F$625:F681))</f>
        <v>47</v>
      </c>
      <c r="B681" s="28" t="s">
        <v>2138</v>
      </c>
      <c r="C681" s="44" t="s">
        <v>2097</v>
      </c>
      <c r="E681" s="13">
        <v>2802000</v>
      </c>
      <c r="F681" s="179">
        <v>2802000</v>
      </c>
      <c r="G681" s="125">
        <f t="shared" si="20"/>
        <v>0</v>
      </c>
      <c r="H681" s="247"/>
    </row>
    <row r="682" spans="1:8" ht="16.5">
      <c r="A682" s="3">
        <f>IF(F682="","",COUNTA($F$625:F682))</f>
        <v>48</v>
      </c>
      <c r="B682" s="28" t="s">
        <v>2139</v>
      </c>
      <c r="C682" s="44" t="s">
        <v>2097</v>
      </c>
      <c r="E682" s="13">
        <v>1216000</v>
      </c>
      <c r="F682" s="179">
        <v>1216000</v>
      </c>
      <c r="G682" s="125">
        <f t="shared" si="20"/>
        <v>0</v>
      </c>
      <c r="H682" s="247"/>
    </row>
    <row r="683" spans="1:8" ht="16.5">
      <c r="A683" s="3">
        <f>IF(F683="","",COUNTA($F$625:F683))</f>
        <v>49</v>
      </c>
      <c r="B683" s="28" t="s">
        <v>2140</v>
      </c>
      <c r="C683" s="44" t="s">
        <v>2097</v>
      </c>
      <c r="E683" s="13">
        <v>1438000</v>
      </c>
      <c r="F683" s="179">
        <v>1438000</v>
      </c>
      <c r="G683" s="125">
        <f t="shared" si="20"/>
        <v>0</v>
      </c>
      <c r="H683" s="247"/>
    </row>
    <row r="684" spans="1:8" ht="33">
      <c r="A684" s="3">
        <f>IF(F684="","",COUNTA($F$625:F684))</f>
        <v>50</v>
      </c>
      <c r="B684" s="28" t="s">
        <v>2141</v>
      </c>
      <c r="C684" s="44" t="s">
        <v>2097</v>
      </c>
      <c r="E684" s="13">
        <v>972000</v>
      </c>
      <c r="F684" s="179">
        <v>972000</v>
      </c>
      <c r="G684" s="125">
        <f t="shared" si="20"/>
        <v>0</v>
      </c>
      <c r="H684" s="247"/>
    </row>
    <row r="685" spans="1:8" ht="16.5">
      <c r="A685" s="3">
        <f>IF(F685="","",COUNTA($F$625:F685))</f>
        <v>51</v>
      </c>
      <c r="B685" s="28" t="s">
        <v>2142</v>
      </c>
      <c r="C685" s="44" t="s">
        <v>2097</v>
      </c>
      <c r="E685" s="13">
        <v>2570000</v>
      </c>
      <c r="F685" s="179">
        <v>2570000</v>
      </c>
      <c r="G685" s="125">
        <f t="shared" si="20"/>
        <v>0</v>
      </c>
      <c r="H685" s="247"/>
    </row>
    <row r="686" spans="1:8" ht="16.5">
      <c r="A686" s="3">
        <f>IF(F686="","",COUNTA($F$625:F686))</f>
        <v>52</v>
      </c>
      <c r="B686" s="28" t="s">
        <v>2143</v>
      </c>
      <c r="C686" s="44" t="s">
        <v>2097</v>
      </c>
      <c r="E686" s="13">
        <v>1418000</v>
      </c>
      <c r="F686" s="179">
        <v>1418000</v>
      </c>
      <c r="G686" s="125">
        <f t="shared" si="20"/>
        <v>0</v>
      </c>
      <c r="H686" s="247"/>
    </row>
    <row r="687" spans="1:8" ht="16.5">
      <c r="A687" s="3">
        <f>IF(F687="","",COUNTA($F$625:F687))</f>
        <v>53</v>
      </c>
      <c r="B687" s="28" t="s">
        <v>2144</v>
      </c>
      <c r="C687" s="44" t="s">
        <v>2097</v>
      </c>
      <c r="E687" s="13">
        <v>2503000</v>
      </c>
      <c r="F687" s="179">
        <v>2503000</v>
      </c>
      <c r="G687" s="125">
        <f t="shared" si="20"/>
        <v>0</v>
      </c>
      <c r="H687" s="247"/>
    </row>
    <row r="688" spans="1:8" ht="16.5">
      <c r="A688" s="3">
        <f>IF(F688="","",COUNTA($F$625:F688))</f>
        <v>54</v>
      </c>
      <c r="B688" s="28" t="s">
        <v>1663</v>
      </c>
      <c r="C688" s="44" t="s">
        <v>2097</v>
      </c>
      <c r="E688" s="13">
        <v>1392000</v>
      </c>
      <c r="F688" s="179">
        <v>1392000</v>
      </c>
      <c r="G688" s="125">
        <f t="shared" si="20"/>
        <v>0</v>
      </c>
      <c r="H688" s="247"/>
    </row>
    <row r="689" spans="1:8" ht="17.25">
      <c r="A689" s="3">
        <f>IF(F689="","",COUNTA($F$625:F689))</f>
      </c>
      <c r="B689" s="32" t="s">
        <v>1737</v>
      </c>
      <c r="C689" s="52"/>
      <c r="E689" s="10"/>
      <c r="F689" s="10"/>
      <c r="G689" s="125"/>
      <c r="H689" s="247" t="s">
        <v>8</v>
      </c>
    </row>
    <row r="690" spans="1:8" ht="33">
      <c r="A690" s="3">
        <f>IF(F690="","",COUNTA($F$625:F690))</f>
        <v>55</v>
      </c>
      <c r="B690" s="28" t="s">
        <v>1664</v>
      </c>
      <c r="C690" s="44" t="s">
        <v>2097</v>
      </c>
      <c r="E690" s="8">
        <f>1875000/1.1</f>
        <v>1704545.4545454544</v>
      </c>
      <c r="F690" s="8">
        <f>1875000/1.1</f>
        <v>1704545.4545454544</v>
      </c>
      <c r="G690" s="125">
        <f t="shared" si="20"/>
        <v>0</v>
      </c>
      <c r="H690" s="247"/>
    </row>
    <row r="691" spans="1:8" ht="33">
      <c r="A691" s="3">
        <f>IF(F691="","",COUNTA($F$625:F691))</f>
        <v>56</v>
      </c>
      <c r="B691" s="28" t="s">
        <v>1665</v>
      </c>
      <c r="C691" s="44" t="s">
        <v>2097</v>
      </c>
      <c r="E691" s="8">
        <f>1048000/1.1</f>
        <v>952727.2727272727</v>
      </c>
      <c r="F691" s="8">
        <f>1048000/1.1</f>
        <v>952727.2727272727</v>
      </c>
      <c r="G691" s="125">
        <f t="shared" si="20"/>
        <v>0</v>
      </c>
      <c r="H691" s="247"/>
    </row>
    <row r="692" spans="1:8" ht="33">
      <c r="A692" s="3">
        <f>IF(F692="","",COUNTA($F$625:F692))</f>
        <v>57</v>
      </c>
      <c r="B692" s="28" t="s">
        <v>1666</v>
      </c>
      <c r="C692" s="44" t="s">
        <v>2097</v>
      </c>
      <c r="E692" s="8">
        <f>2735000/1.1</f>
        <v>2486363.6363636362</v>
      </c>
      <c r="F692" s="8">
        <f>2735000/1.1</f>
        <v>2486363.6363636362</v>
      </c>
      <c r="G692" s="125">
        <f t="shared" si="20"/>
        <v>0</v>
      </c>
      <c r="H692" s="247"/>
    </row>
    <row r="693" spans="1:8" ht="16.5">
      <c r="A693" s="3">
        <f>IF(F693="","",COUNTA($F$625:F693))</f>
        <v>58</v>
      </c>
      <c r="B693" s="28" t="s">
        <v>1667</v>
      </c>
      <c r="C693" s="44" t="s">
        <v>2097</v>
      </c>
      <c r="E693" s="8">
        <f>1948000/1.1</f>
        <v>1770909.0909090908</v>
      </c>
      <c r="F693" s="8">
        <f>1948000/1.1</f>
        <v>1770909.0909090908</v>
      </c>
      <c r="G693" s="125">
        <f t="shared" si="20"/>
        <v>0</v>
      </c>
      <c r="H693" s="247"/>
    </row>
    <row r="694" spans="1:8" ht="33">
      <c r="A694" s="3">
        <f>IF(F694="","",COUNTA($F$625:F694))</f>
        <v>59</v>
      </c>
      <c r="B694" s="28" t="s">
        <v>1668</v>
      </c>
      <c r="C694" s="44" t="s">
        <v>2097</v>
      </c>
      <c r="E694" s="8">
        <f>3081000/1.1</f>
        <v>2800909.090909091</v>
      </c>
      <c r="F694" s="8">
        <f>3081000/1.1</f>
        <v>2800909.090909091</v>
      </c>
      <c r="G694" s="125">
        <f t="shared" si="20"/>
        <v>0</v>
      </c>
      <c r="H694" s="247"/>
    </row>
    <row r="695" spans="1:8" ht="33">
      <c r="A695" s="3">
        <f>IF(F695="","",COUNTA($F$625:F695))</f>
        <v>60</v>
      </c>
      <c r="B695" s="28" t="s">
        <v>1669</v>
      </c>
      <c r="C695" s="44" t="s">
        <v>2097</v>
      </c>
      <c r="E695" s="8">
        <f>1645000/1.1</f>
        <v>1495454.5454545454</v>
      </c>
      <c r="F695" s="8">
        <f>1645000/1.1</f>
        <v>1495454.5454545454</v>
      </c>
      <c r="G695" s="125">
        <f t="shared" si="20"/>
        <v>0</v>
      </c>
      <c r="H695" s="247"/>
    </row>
    <row r="696" spans="1:8" ht="33">
      <c r="A696" s="3">
        <f>IF(F696="","",COUNTA($F$625:F696))</f>
        <v>61</v>
      </c>
      <c r="B696" s="28" t="s">
        <v>1670</v>
      </c>
      <c r="C696" s="44" t="s">
        <v>2097</v>
      </c>
      <c r="E696" s="8">
        <f>2578000/1.1</f>
        <v>2343636.3636363633</v>
      </c>
      <c r="F696" s="8">
        <f>2578000/1.1</f>
        <v>2343636.3636363633</v>
      </c>
      <c r="G696" s="125">
        <f t="shared" si="20"/>
        <v>0</v>
      </c>
      <c r="H696" s="247"/>
    </row>
    <row r="697" spans="1:8" ht="33">
      <c r="A697" s="3">
        <f>IF(F697="","",COUNTA($F$625:F697))</f>
        <v>62</v>
      </c>
      <c r="B697" s="28" t="s">
        <v>1671</v>
      </c>
      <c r="C697" s="44" t="s">
        <v>2097</v>
      </c>
      <c r="E697" s="8">
        <f>3945000/1.1</f>
        <v>3586363.6363636362</v>
      </c>
      <c r="F697" s="8">
        <f>3945000/1.1</f>
        <v>3586363.6363636362</v>
      </c>
      <c r="G697" s="125">
        <f t="shared" si="20"/>
        <v>0</v>
      </c>
      <c r="H697" s="247"/>
    </row>
    <row r="698" spans="1:8" ht="16.5">
      <c r="A698" s="3">
        <f>IF(F698="","",COUNTA($F$625:F698))</f>
        <v>63</v>
      </c>
      <c r="B698" s="28" t="s">
        <v>1672</v>
      </c>
      <c r="C698" s="44" t="s">
        <v>2098</v>
      </c>
      <c r="E698" s="8">
        <f>320000/1.1</f>
        <v>290909.0909090909</v>
      </c>
      <c r="F698" s="8">
        <f>320000/1.1</f>
        <v>290909.0909090909</v>
      </c>
      <c r="G698" s="125">
        <f t="shared" si="20"/>
        <v>0</v>
      </c>
      <c r="H698" s="247"/>
    </row>
    <row r="699" spans="1:8" ht="16.5">
      <c r="A699" s="3">
        <f>IF(F699="","",COUNTA($F$625:F699))</f>
        <v>64</v>
      </c>
      <c r="B699" s="28" t="s">
        <v>1673</v>
      </c>
      <c r="C699" s="44" t="s">
        <v>2098</v>
      </c>
      <c r="E699" s="8">
        <f>376000/1.1</f>
        <v>341818.18181818177</v>
      </c>
      <c r="F699" s="8">
        <f>376000/1.1</f>
        <v>341818.18181818177</v>
      </c>
      <c r="G699" s="125">
        <f t="shared" si="20"/>
        <v>0</v>
      </c>
      <c r="H699" s="247"/>
    </row>
    <row r="700" spans="1:8" ht="33">
      <c r="A700" s="3">
        <f>IF(F700="","",COUNTA($F$625:F700))</f>
        <v>65</v>
      </c>
      <c r="B700" s="28" t="s">
        <v>1674</v>
      </c>
      <c r="C700" s="44" t="s">
        <v>2097</v>
      </c>
      <c r="E700" s="8">
        <f>3422000/1.1</f>
        <v>3110909.090909091</v>
      </c>
      <c r="F700" s="8">
        <f>3422000/1.1</f>
        <v>3110909.090909091</v>
      </c>
      <c r="G700" s="125">
        <f t="shared" si="20"/>
        <v>0</v>
      </c>
      <c r="H700" s="247"/>
    </row>
    <row r="701" spans="1:8" ht="17.25">
      <c r="A701" s="3">
        <f>IF(F701="","",COUNTA($F$625:F701))</f>
      </c>
      <c r="B701" s="32" t="s">
        <v>1738</v>
      </c>
      <c r="C701" s="44"/>
      <c r="E701" s="8"/>
      <c r="F701" s="8"/>
      <c r="G701" s="125"/>
      <c r="H701" s="247" t="s">
        <v>1</v>
      </c>
    </row>
    <row r="702" spans="1:8" ht="33">
      <c r="A702" s="3">
        <f>IF(F702="","",COUNTA($F$625:F702))</f>
        <v>66</v>
      </c>
      <c r="B702" s="28" t="s">
        <v>3274</v>
      </c>
      <c r="C702" s="44" t="s">
        <v>2097</v>
      </c>
      <c r="E702" s="8">
        <f>1655000/1.1</f>
        <v>1504545.4545454544</v>
      </c>
      <c r="F702" s="8">
        <f>1655000/1.1</f>
        <v>1504545.4545454544</v>
      </c>
      <c r="G702" s="125">
        <f t="shared" si="20"/>
        <v>0</v>
      </c>
      <c r="H702" s="247"/>
    </row>
    <row r="703" spans="1:8" ht="33">
      <c r="A703" s="3">
        <f>IF(F703="","",COUNTA($F$625:F703))</f>
        <v>67</v>
      </c>
      <c r="B703" s="28" t="s">
        <v>3275</v>
      </c>
      <c r="C703" s="44" t="s">
        <v>2097</v>
      </c>
      <c r="E703" s="8">
        <f>3885000/1.1</f>
        <v>3531818.1818181816</v>
      </c>
      <c r="F703" s="8">
        <f>3885000/1.1</f>
        <v>3531818.1818181816</v>
      </c>
      <c r="G703" s="125">
        <f t="shared" si="20"/>
        <v>0</v>
      </c>
      <c r="H703" s="247"/>
    </row>
    <row r="704" spans="1:8" ht="33">
      <c r="A704" s="3">
        <f>IF(F704="","",COUNTA($F$625:F704))</f>
        <v>68</v>
      </c>
      <c r="B704" s="28" t="s">
        <v>3276</v>
      </c>
      <c r="C704" s="44" t="s">
        <v>2097</v>
      </c>
      <c r="E704" s="8">
        <f>2020000/1.1</f>
        <v>1836363.6363636362</v>
      </c>
      <c r="F704" s="8">
        <f>2020000/1.1</f>
        <v>1836363.6363636362</v>
      </c>
      <c r="G704" s="125">
        <f t="shared" si="20"/>
        <v>0</v>
      </c>
      <c r="H704" s="247"/>
    </row>
    <row r="705" spans="1:8" ht="33">
      <c r="A705" s="3">
        <f>IF(F705="","",COUNTA($F$625:F705))</f>
        <v>69</v>
      </c>
      <c r="B705" s="28" t="s">
        <v>3277</v>
      </c>
      <c r="C705" s="44" t="s">
        <v>2097</v>
      </c>
      <c r="E705" s="8">
        <f>3175000/1.1</f>
        <v>2886363.6363636362</v>
      </c>
      <c r="F705" s="8">
        <f>3175000/1.1</f>
        <v>2886363.6363636362</v>
      </c>
      <c r="G705" s="125">
        <f>(E705-F705)/E705</f>
        <v>0</v>
      </c>
      <c r="H705" s="247"/>
    </row>
    <row r="706" spans="1:8" ht="33">
      <c r="A706" s="3">
        <f>IF(F706="","",COUNTA($F$625:F706))</f>
        <v>70</v>
      </c>
      <c r="B706" s="28" t="s">
        <v>3278</v>
      </c>
      <c r="C706" s="44" t="s">
        <v>2097</v>
      </c>
      <c r="E706" s="8">
        <f>3365000/1.1</f>
        <v>3059090.9090909087</v>
      </c>
      <c r="F706" s="8">
        <f>3365000/1.1</f>
        <v>3059090.9090909087</v>
      </c>
      <c r="G706" s="125">
        <f t="shared" si="20"/>
        <v>0</v>
      </c>
      <c r="H706" s="247"/>
    </row>
    <row r="707" spans="1:8" ht="16.5">
      <c r="A707" s="3">
        <f>IF(F707="","",COUNTA($F$625:F707))</f>
        <v>71</v>
      </c>
      <c r="B707" s="28" t="s">
        <v>3279</v>
      </c>
      <c r="C707" s="44" t="s">
        <v>2098</v>
      </c>
      <c r="E707" s="8">
        <f>345000/1.1</f>
        <v>313636.3636363636</v>
      </c>
      <c r="F707" s="8">
        <f>345000/1.1</f>
        <v>313636.3636363636</v>
      </c>
      <c r="G707" s="125">
        <f t="shared" si="20"/>
        <v>0</v>
      </c>
      <c r="H707" s="247"/>
    </row>
    <row r="708" spans="1:8" ht="33">
      <c r="A708" s="3">
        <f>IF(F708="","",COUNTA($F$625:F708))</f>
        <v>72</v>
      </c>
      <c r="B708" s="28" t="s">
        <v>3280</v>
      </c>
      <c r="C708" s="44" t="s">
        <v>2098</v>
      </c>
      <c r="E708" s="8">
        <f>585000/1.1</f>
        <v>531818.1818181818</v>
      </c>
      <c r="F708" s="8">
        <f>585000/1.1</f>
        <v>531818.1818181818</v>
      </c>
      <c r="G708" s="125">
        <f t="shared" si="20"/>
        <v>0</v>
      </c>
      <c r="H708" s="247"/>
    </row>
    <row r="709" spans="1:8" s="74" customFormat="1" ht="17.25">
      <c r="A709" s="3">
        <f>IF(F709="","",COUNTA($F$625:F709))</f>
      </c>
      <c r="B709" s="32" t="s">
        <v>1676</v>
      </c>
      <c r="C709" s="14"/>
      <c r="D709" s="73"/>
      <c r="E709" s="86"/>
      <c r="F709" s="86"/>
      <c r="G709" s="125"/>
      <c r="H709" s="247" t="s">
        <v>3</v>
      </c>
    </row>
    <row r="710" spans="1:8" ht="16.5">
      <c r="A710" s="3">
        <f>IF(F710="","",COUNTA($F$625:F710))</f>
        <v>73</v>
      </c>
      <c r="B710" s="28" t="s">
        <v>1677</v>
      </c>
      <c r="C710" s="44" t="s">
        <v>2097</v>
      </c>
      <c r="E710" s="8">
        <f>620000/1.1</f>
        <v>563636.3636363636</v>
      </c>
      <c r="F710" s="8">
        <f>620000/1.1</f>
        <v>563636.3636363636</v>
      </c>
      <c r="G710" s="125">
        <f t="shared" si="20"/>
        <v>0</v>
      </c>
      <c r="H710" s="247"/>
    </row>
    <row r="711" spans="1:8" ht="16.5">
      <c r="A711" s="3">
        <f>IF(F711="","",COUNTA($F$625:F711))</f>
        <v>74</v>
      </c>
      <c r="B711" s="28" t="s">
        <v>1678</v>
      </c>
      <c r="C711" s="44" t="s">
        <v>2097</v>
      </c>
      <c r="E711" s="8">
        <f>1380000/1.1</f>
        <v>1254545.4545454544</v>
      </c>
      <c r="F711" s="8">
        <f>1380000/1.1</f>
        <v>1254545.4545454544</v>
      </c>
      <c r="G711" s="125">
        <f t="shared" si="20"/>
        <v>0</v>
      </c>
      <c r="H711" s="247"/>
    </row>
    <row r="712" spans="1:8" ht="33">
      <c r="A712" s="3">
        <f>IF(F712="","",COUNTA($F$625:F712))</f>
        <v>75</v>
      </c>
      <c r="B712" s="28" t="s">
        <v>1679</v>
      </c>
      <c r="C712" s="44" t="s">
        <v>2097</v>
      </c>
      <c r="E712" s="8">
        <f>1650000/1.1</f>
        <v>1499999.9999999998</v>
      </c>
      <c r="F712" s="8">
        <f>1650000/1.1</f>
        <v>1499999.9999999998</v>
      </c>
      <c r="G712" s="125">
        <f t="shared" si="20"/>
        <v>0</v>
      </c>
      <c r="H712" s="247"/>
    </row>
    <row r="713" spans="1:8" ht="16.5">
      <c r="A713" s="3">
        <f>IF(F713="","",COUNTA($F$625:F713))</f>
        <v>76</v>
      </c>
      <c r="B713" s="28" t="s">
        <v>1680</v>
      </c>
      <c r="C713" s="44" t="s">
        <v>2097</v>
      </c>
      <c r="E713" s="8">
        <f>1970000/1.1</f>
        <v>1790909.0909090908</v>
      </c>
      <c r="F713" s="8">
        <f>1970000/1.1</f>
        <v>1790909.0909090908</v>
      </c>
      <c r="G713" s="125">
        <f t="shared" si="20"/>
        <v>0</v>
      </c>
      <c r="H713" s="247"/>
    </row>
    <row r="714" spans="1:8" ht="16.5">
      <c r="A714" s="3">
        <f>IF(F714="","",COUNTA($F$625:F714))</f>
        <v>77</v>
      </c>
      <c r="B714" s="28" t="s">
        <v>1681</v>
      </c>
      <c r="C714" s="44" t="s">
        <v>2097</v>
      </c>
      <c r="E714" s="8">
        <f>1680000/1.1</f>
        <v>1527272.727272727</v>
      </c>
      <c r="F714" s="8">
        <f>1680000/1.1</f>
        <v>1527272.727272727</v>
      </c>
      <c r="G714" s="125">
        <f t="shared" si="20"/>
        <v>0</v>
      </c>
      <c r="H714" s="247"/>
    </row>
    <row r="715" spans="1:8" ht="16.5">
      <c r="A715" s="3">
        <f>IF(F715="","",COUNTA($F$625:F715))</f>
        <v>78</v>
      </c>
      <c r="B715" s="28" t="s">
        <v>1682</v>
      </c>
      <c r="C715" s="44" t="s">
        <v>2097</v>
      </c>
      <c r="E715" s="8">
        <f>1840000/1.1</f>
        <v>1672727.2727272727</v>
      </c>
      <c r="F715" s="8">
        <f>1840000/1.1</f>
        <v>1672727.2727272727</v>
      </c>
      <c r="G715" s="125">
        <f t="shared" si="20"/>
        <v>0</v>
      </c>
      <c r="H715" s="247"/>
    </row>
    <row r="716" spans="1:8" ht="33">
      <c r="A716" s="3">
        <f>IF(F716="","",COUNTA($F$625:F716))</f>
        <v>79</v>
      </c>
      <c r="B716" s="28" t="s">
        <v>1683</v>
      </c>
      <c r="C716" s="44" t="s">
        <v>2097</v>
      </c>
      <c r="E716" s="8">
        <f>2540000/1.1</f>
        <v>2309090.9090909087</v>
      </c>
      <c r="F716" s="8">
        <f>2540000/1.1</f>
        <v>2309090.9090909087</v>
      </c>
      <c r="G716" s="125">
        <f t="shared" si="20"/>
        <v>0</v>
      </c>
      <c r="H716" s="247"/>
    </row>
    <row r="717" spans="1:8" ht="16.5">
      <c r="A717" s="3">
        <f>IF(F717="","",COUNTA($F$625:F717))</f>
        <v>80</v>
      </c>
      <c r="B717" s="28" t="s">
        <v>2135</v>
      </c>
      <c r="C717" s="44" t="s">
        <v>2098</v>
      </c>
      <c r="E717" s="8">
        <f>270000/1.1</f>
        <v>245454.54545454544</v>
      </c>
      <c r="F717" s="8">
        <f>270000/1.1</f>
        <v>245454.54545454544</v>
      </c>
      <c r="G717" s="125">
        <f t="shared" si="20"/>
        <v>0</v>
      </c>
      <c r="H717" s="247"/>
    </row>
    <row r="718" spans="1:8" ht="16.5">
      <c r="A718" s="3">
        <f>IF(F718="","",COUNTA($F$625:F718))</f>
        <v>81</v>
      </c>
      <c r="B718" s="28" t="s">
        <v>2136</v>
      </c>
      <c r="C718" s="44" t="s">
        <v>2098</v>
      </c>
      <c r="E718" s="8">
        <f>360000/1.1</f>
        <v>327272.72727272724</v>
      </c>
      <c r="F718" s="8">
        <f>360000/1.1</f>
        <v>327272.72727272724</v>
      </c>
      <c r="G718" s="125">
        <f t="shared" si="20"/>
        <v>0</v>
      </c>
      <c r="H718" s="247"/>
    </row>
    <row r="719" spans="1:8" ht="17.25">
      <c r="A719" s="3">
        <f>IF(F719="","",COUNTA($F$625:F719))</f>
      </c>
      <c r="B719" s="32" t="s">
        <v>1684</v>
      </c>
      <c r="C719" s="140"/>
      <c r="E719" s="87"/>
      <c r="F719" s="87"/>
      <c r="G719" s="125"/>
      <c r="H719" s="247"/>
    </row>
    <row r="720" spans="1:8" ht="16.5">
      <c r="A720" s="3">
        <f>IF(F720="","",COUNTA($F$625:F720))</f>
        <v>82</v>
      </c>
      <c r="B720" s="28" t="s">
        <v>1685</v>
      </c>
      <c r="C720" s="44" t="s">
        <v>2097</v>
      </c>
      <c r="E720" s="8">
        <f>620000/1.1</f>
        <v>563636.3636363636</v>
      </c>
      <c r="F720" s="8">
        <f>620000/1.1</f>
        <v>563636.3636363636</v>
      </c>
      <c r="G720" s="125">
        <f t="shared" si="20"/>
        <v>0</v>
      </c>
      <c r="H720" s="247"/>
    </row>
    <row r="721" spans="1:8" ht="16.5">
      <c r="A721" s="3">
        <f>IF(F721="","",COUNTA($F$625:F721))</f>
        <v>83</v>
      </c>
      <c r="B721" s="28" t="s">
        <v>1686</v>
      </c>
      <c r="C721" s="44" t="s">
        <v>2097</v>
      </c>
      <c r="E721" s="8">
        <f>1380000/1.1</f>
        <v>1254545.4545454544</v>
      </c>
      <c r="F721" s="8">
        <f>1380000/1.1</f>
        <v>1254545.4545454544</v>
      </c>
      <c r="G721" s="125">
        <f t="shared" si="20"/>
        <v>0</v>
      </c>
      <c r="H721" s="247"/>
    </row>
    <row r="722" spans="1:8" ht="33">
      <c r="A722" s="3">
        <f>IF(F722="","",COUNTA($F$625:F722))</f>
        <v>84</v>
      </c>
      <c r="B722" s="28" t="s">
        <v>1687</v>
      </c>
      <c r="C722" s="44" t="s">
        <v>2097</v>
      </c>
      <c r="E722" s="8">
        <f>1650000/1.1</f>
        <v>1499999.9999999998</v>
      </c>
      <c r="F722" s="8">
        <f>1650000/1.1</f>
        <v>1499999.9999999998</v>
      </c>
      <c r="G722" s="125">
        <f t="shared" si="20"/>
        <v>0</v>
      </c>
      <c r="H722" s="247"/>
    </row>
    <row r="723" spans="1:8" ht="33">
      <c r="A723" s="3">
        <f>IF(F723="","",COUNTA($F$625:F723))</f>
        <v>85</v>
      </c>
      <c r="B723" s="28" t="s">
        <v>1688</v>
      </c>
      <c r="C723" s="44" t="s">
        <v>2097</v>
      </c>
      <c r="E723" s="8">
        <f>1970000/1.1</f>
        <v>1790909.0909090908</v>
      </c>
      <c r="F723" s="8">
        <f>1970000/1.1</f>
        <v>1790909.0909090908</v>
      </c>
      <c r="G723" s="125">
        <f t="shared" si="20"/>
        <v>0</v>
      </c>
      <c r="H723" s="247"/>
    </row>
    <row r="724" spans="1:8" ht="16.5">
      <c r="A724" s="3">
        <f>IF(F724="","",COUNTA($F$625:F724))</f>
        <v>86</v>
      </c>
      <c r="B724" s="28" t="s">
        <v>1689</v>
      </c>
      <c r="C724" s="44" t="s">
        <v>2097</v>
      </c>
      <c r="E724" s="8">
        <f>1680000/1.1</f>
        <v>1527272.727272727</v>
      </c>
      <c r="F724" s="8">
        <f>1680000/1.1</f>
        <v>1527272.727272727</v>
      </c>
      <c r="G724" s="125">
        <f t="shared" si="20"/>
        <v>0</v>
      </c>
      <c r="H724" s="247"/>
    </row>
    <row r="725" spans="1:8" ht="16.5">
      <c r="A725" s="3">
        <f>IF(F725="","",COUNTA($F$625:F725))</f>
        <v>87</v>
      </c>
      <c r="B725" s="28" t="s">
        <v>1690</v>
      </c>
      <c r="C725" s="44" t="s">
        <v>2097</v>
      </c>
      <c r="E725" s="8">
        <f>1840000/1.1</f>
        <v>1672727.2727272727</v>
      </c>
      <c r="F725" s="8">
        <f>1840000/1.1</f>
        <v>1672727.2727272727</v>
      </c>
      <c r="G725" s="125">
        <f t="shared" si="20"/>
        <v>0</v>
      </c>
      <c r="H725" s="247"/>
    </row>
    <row r="726" spans="1:8" ht="33">
      <c r="A726" s="3">
        <f>IF(F726="","",COUNTA($F$625:F726))</f>
        <v>88</v>
      </c>
      <c r="B726" s="28" t="s">
        <v>1691</v>
      </c>
      <c r="C726" s="44" t="s">
        <v>2097</v>
      </c>
      <c r="E726" s="8">
        <f>2540000/1.1</f>
        <v>2309090.9090909087</v>
      </c>
      <c r="F726" s="8">
        <f>2540000/1.1</f>
        <v>2309090.9090909087</v>
      </c>
      <c r="G726" s="125">
        <f t="shared" si="20"/>
        <v>0</v>
      </c>
      <c r="H726" s="247"/>
    </row>
    <row r="727" spans="1:8" ht="16.5">
      <c r="A727" s="3">
        <f>IF(F727="","",COUNTA($F$625:F727))</f>
        <v>89</v>
      </c>
      <c r="B727" s="28" t="s">
        <v>2135</v>
      </c>
      <c r="C727" s="44" t="s">
        <v>2098</v>
      </c>
      <c r="E727" s="8">
        <f>270000/1.1</f>
        <v>245454.54545454544</v>
      </c>
      <c r="F727" s="8">
        <f>270000/1.1</f>
        <v>245454.54545454544</v>
      </c>
      <c r="G727" s="125">
        <f t="shared" si="20"/>
        <v>0</v>
      </c>
      <c r="H727" s="247"/>
    </row>
    <row r="728" spans="1:8" ht="16.5">
      <c r="A728" s="3">
        <f>IF(F728="","",COUNTA($F$625:F728))</f>
        <v>90</v>
      </c>
      <c r="B728" s="28" t="s">
        <v>2136</v>
      </c>
      <c r="C728" s="44" t="s">
        <v>2098</v>
      </c>
      <c r="E728" s="8">
        <f>360000/1.1</f>
        <v>327272.72727272724</v>
      </c>
      <c r="F728" s="8">
        <f>360000/1.1</f>
        <v>327272.72727272724</v>
      </c>
      <c r="G728" s="125">
        <f aca="true" t="shared" si="21" ref="G728:G791">(E728-F728)/E728</f>
        <v>0</v>
      </c>
      <c r="H728" s="247"/>
    </row>
    <row r="729" spans="1:8" ht="17.25">
      <c r="A729" s="3">
        <f>IF(F729="","",COUNTA($F$625:F729))</f>
      </c>
      <c r="B729" s="32" t="s">
        <v>1739</v>
      </c>
      <c r="C729" s="44"/>
      <c r="E729" s="8"/>
      <c r="F729" s="8"/>
      <c r="G729" s="125"/>
      <c r="H729" s="247" t="s">
        <v>5</v>
      </c>
    </row>
    <row r="730" spans="1:8" ht="16.5">
      <c r="A730" s="3">
        <f>IF(F730="","",COUNTA($F$625:F730))</f>
        <v>91</v>
      </c>
      <c r="B730" s="28" t="s">
        <v>1694</v>
      </c>
      <c r="C730" s="44" t="s">
        <v>2097</v>
      </c>
      <c r="E730" s="8">
        <f>1626000/1.1</f>
        <v>1478181.8181818181</v>
      </c>
      <c r="F730" s="8">
        <f>1626000/1.1</f>
        <v>1478181.8181818181</v>
      </c>
      <c r="G730" s="125">
        <f t="shared" si="21"/>
        <v>0</v>
      </c>
      <c r="H730" s="247"/>
    </row>
    <row r="731" spans="1:8" ht="16.5">
      <c r="A731" s="3">
        <f>IF(F731="","",COUNTA($F$625:F731))</f>
        <v>92</v>
      </c>
      <c r="B731" s="28" t="s">
        <v>1695</v>
      </c>
      <c r="C731" s="44" t="s">
        <v>2097</v>
      </c>
      <c r="E731" s="8">
        <f>1048000/1.1</f>
        <v>952727.2727272727</v>
      </c>
      <c r="F731" s="8">
        <f>1048000/1.1</f>
        <v>952727.2727272727</v>
      </c>
      <c r="G731" s="125">
        <f t="shared" si="21"/>
        <v>0</v>
      </c>
      <c r="H731" s="247"/>
    </row>
    <row r="732" spans="1:8" ht="16.5">
      <c r="A732" s="3">
        <f>IF(F732="","",COUNTA($F$625:F732))</f>
        <v>93</v>
      </c>
      <c r="B732" s="28" t="s">
        <v>1696</v>
      </c>
      <c r="C732" s="44" t="s">
        <v>2097</v>
      </c>
      <c r="E732" s="8">
        <f>2092000/1.1</f>
        <v>1901818.1818181816</v>
      </c>
      <c r="F732" s="8">
        <f>2092000/1.1</f>
        <v>1901818.1818181816</v>
      </c>
      <c r="G732" s="125">
        <f t="shared" si="21"/>
        <v>0</v>
      </c>
      <c r="H732" s="247"/>
    </row>
    <row r="733" spans="1:8" ht="16.5">
      <c r="A733" s="3">
        <f>IF(F733="","",COUNTA($F$625:F733))</f>
        <v>94</v>
      </c>
      <c r="B733" s="28" t="s">
        <v>1697</v>
      </c>
      <c r="C733" s="44" t="s">
        <v>2097</v>
      </c>
      <c r="E733" s="8">
        <f>2040000/1.1</f>
        <v>1854545.4545454544</v>
      </c>
      <c r="F733" s="8">
        <f>2040000/1.1</f>
        <v>1854545.4545454544</v>
      </c>
      <c r="G733" s="125">
        <f t="shared" si="21"/>
        <v>0</v>
      </c>
      <c r="H733" s="247"/>
    </row>
    <row r="734" spans="1:8" ht="16.5">
      <c r="A734" s="3">
        <f>IF(F734="","",COUNTA($F$625:F734))</f>
        <v>95</v>
      </c>
      <c r="B734" s="28" t="s">
        <v>1698</v>
      </c>
      <c r="C734" s="44" t="s">
        <v>2097</v>
      </c>
      <c r="E734" s="8">
        <f>1701000/1.1</f>
        <v>1546363.6363636362</v>
      </c>
      <c r="F734" s="8">
        <f>1701000/1.1</f>
        <v>1546363.6363636362</v>
      </c>
      <c r="G734" s="125">
        <f t="shared" si="21"/>
        <v>0</v>
      </c>
      <c r="H734" s="247"/>
    </row>
    <row r="735" spans="1:8" ht="33">
      <c r="A735" s="3">
        <f>IF(F735="","",COUNTA($F$625:F735))</f>
        <v>96</v>
      </c>
      <c r="B735" s="28" t="s">
        <v>1699</v>
      </c>
      <c r="C735" s="44" t="s">
        <v>2098</v>
      </c>
      <c r="E735" s="8">
        <f>460000/1.1</f>
        <v>418181.8181818182</v>
      </c>
      <c r="F735" s="8">
        <f>460000/1.1</f>
        <v>418181.8181818182</v>
      </c>
      <c r="G735" s="125">
        <f t="shared" si="21"/>
        <v>0</v>
      </c>
      <c r="H735" s="247"/>
    </row>
    <row r="736" spans="1:8" ht="17.25">
      <c r="A736" s="3">
        <f>IF(F736="","",COUNTA($F$625:F736))</f>
      </c>
      <c r="B736" s="32" t="s">
        <v>1740</v>
      </c>
      <c r="C736" s="44"/>
      <c r="E736" s="8"/>
      <c r="F736" s="8"/>
      <c r="G736" s="125"/>
      <c r="H736" s="247" t="s">
        <v>6</v>
      </c>
    </row>
    <row r="737" spans="1:8" ht="33">
      <c r="A737" s="3">
        <f>IF(F737="","",COUNTA($F$625:F737))</f>
        <v>97</v>
      </c>
      <c r="B737" s="28" t="s">
        <v>1701</v>
      </c>
      <c r="C737" s="44" t="s">
        <v>2097</v>
      </c>
      <c r="E737" s="8">
        <v>668200</v>
      </c>
      <c r="F737" s="8">
        <v>668200</v>
      </c>
      <c r="G737" s="125">
        <f t="shared" si="21"/>
        <v>0</v>
      </c>
      <c r="H737" s="247"/>
    </row>
    <row r="738" spans="1:8" ht="33">
      <c r="A738" s="3">
        <f>IF(F738="","",COUNTA($F$625:F738))</f>
        <v>98</v>
      </c>
      <c r="B738" s="28" t="s">
        <v>1702</v>
      </c>
      <c r="C738" s="44" t="s">
        <v>2097</v>
      </c>
      <c r="E738" s="8">
        <v>1031000</v>
      </c>
      <c r="F738" s="8">
        <v>1031000</v>
      </c>
      <c r="G738" s="125">
        <f t="shared" si="21"/>
        <v>0</v>
      </c>
      <c r="H738" s="247"/>
    </row>
    <row r="739" spans="1:8" ht="16.5">
      <c r="A739" s="3">
        <f>IF(F739="","",COUNTA($F$625:F739))</f>
        <v>99</v>
      </c>
      <c r="B739" s="28" t="s">
        <v>1703</v>
      </c>
      <c r="C739" s="44" t="s">
        <v>2097</v>
      </c>
      <c r="E739" s="8">
        <v>1080600</v>
      </c>
      <c r="F739" s="8">
        <v>1080600</v>
      </c>
      <c r="G739" s="125">
        <f t="shared" si="21"/>
        <v>0</v>
      </c>
      <c r="H739" s="247"/>
    </row>
    <row r="740" spans="1:8" ht="49.5">
      <c r="A740" s="3">
        <f>IF(F740="","",COUNTA($F$625:F740))</f>
        <v>100</v>
      </c>
      <c r="B740" s="28" t="s">
        <v>1704</v>
      </c>
      <c r="C740" s="44" t="s">
        <v>2097</v>
      </c>
      <c r="E740" s="8">
        <v>1596700</v>
      </c>
      <c r="F740" s="8">
        <v>1596700</v>
      </c>
      <c r="G740" s="125">
        <f t="shared" si="21"/>
        <v>0</v>
      </c>
      <c r="H740" s="247"/>
    </row>
    <row r="741" spans="1:8" ht="33">
      <c r="A741" s="3">
        <f>IF(F741="","",COUNTA($F$625:F741))</f>
        <v>101</v>
      </c>
      <c r="B741" s="28" t="s">
        <v>1705</v>
      </c>
      <c r="C741" s="44" t="s">
        <v>2097</v>
      </c>
      <c r="E741" s="8">
        <v>1282200</v>
      </c>
      <c r="F741" s="8">
        <v>1282200</v>
      </c>
      <c r="G741" s="125">
        <f t="shared" si="21"/>
        <v>0</v>
      </c>
      <c r="H741" s="247"/>
    </row>
    <row r="742" spans="1:8" ht="33">
      <c r="A742" s="3">
        <f>IF(F742="","",COUNTA($F$625:F742))</f>
        <v>102</v>
      </c>
      <c r="B742" s="28" t="s">
        <v>2100</v>
      </c>
      <c r="C742" s="44" t="s">
        <v>2097</v>
      </c>
      <c r="E742" s="8">
        <v>2128900</v>
      </c>
      <c r="F742" s="8">
        <v>2128900</v>
      </c>
      <c r="G742" s="125">
        <f t="shared" si="21"/>
        <v>0</v>
      </c>
      <c r="H742" s="247"/>
    </row>
    <row r="743" spans="1:8" ht="33">
      <c r="A743" s="3">
        <f>IF(F743="","",COUNTA($F$625:F743))</f>
        <v>103</v>
      </c>
      <c r="B743" s="28" t="s">
        <v>1706</v>
      </c>
      <c r="C743" s="44" t="s">
        <v>2097</v>
      </c>
      <c r="E743" s="8">
        <v>2380000</v>
      </c>
      <c r="F743" s="8">
        <v>2380000</v>
      </c>
      <c r="G743" s="125">
        <f t="shared" si="21"/>
        <v>0</v>
      </c>
      <c r="H743" s="247"/>
    </row>
    <row r="744" spans="1:8" ht="16.5">
      <c r="A744" s="3">
        <f>IF(F744="","",COUNTA($F$625:F744))</f>
        <v>104</v>
      </c>
      <c r="B744" s="28" t="s">
        <v>2136</v>
      </c>
      <c r="C744" s="44" t="s">
        <v>2098</v>
      </c>
      <c r="E744" s="8">
        <v>432900</v>
      </c>
      <c r="F744" s="8">
        <v>432900</v>
      </c>
      <c r="G744" s="125">
        <f t="shared" si="21"/>
        <v>0</v>
      </c>
      <c r="H744" s="247"/>
    </row>
    <row r="745" spans="1:8" ht="16.5">
      <c r="A745" s="3">
        <f>IF(F745="","",COUNTA($F$625:F745))</f>
        <v>105</v>
      </c>
      <c r="B745" s="28" t="s">
        <v>2135</v>
      </c>
      <c r="C745" s="44" t="s">
        <v>2098</v>
      </c>
      <c r="E745" s="8">
        <v>320300</v>
      </c>
      <c r="F745" s="8">
        <v>320300</v>
      </c>
      <c r="G745" s="125">
        <f t="shared" si="21"/>
        <v>0</v>
      </c>
      <c r="H745" s="247"/>
    </row>
    <row r="746" spans="1:8" ht="17.25">
      <c r="A746" s="3">
        <f>IF(F746="","",COUNTA($F$625:F746))</f>
      </c>
      <c r="B746" s="32" t="s">
        <v>735</v>
      </c>
      <c r="C746" s="44"/>
      <c r="E746" s="8"/>
      <c r="F746" s="8"/>
      <c r="G746" s="125"/>
      <c r="H746" s="247" t="s">
        <v>4</v>
      </c>
    </row>
    <row r="747" spans="1:8" ht="16.5">
      <c r="A747" s="3">
        <f>IF(F747="","",COUNTA($F$625:F747))</f>
        <v>106</v>
      </c>
      <c r="B747" s="28" t="s">
        <v>2135</v>
      </c>
      <c r="C747" s="44" t="s">
        <v>2098</v>
      </c>
      <c r="E747" s="8">
        <v>429000</v>
      </c>
      <c r="F747" s="8">
        <v>429000</v>
      </c>
      <c r="G747" s="125">
        <f t="shared" si="21"/>
        <v>0</v>
      </c>
      <c r="H747" s="247"/>
    </row>
    <row r="748" spans="1:8" ht="16.5">
      <c r="A748" s="3">
        <f>IF(F748="","",COUNTA($F$625:F748))</f>
        <v>107</v>
      </c>
      <c r="B748" s="28" t="s">
        <v>2136</v>
      </c>
      <c r="C748" s="44" t="s">
        <v>2098</v>
      </c>
      <c r="E748" s="8">
        <v>505000</v>
      </c>
      <c r="F748" s="8">
        <v>505000</v>
      </c>
      <c r="G748" s="125">
        <f t="shared" si="21"/>
        <v>0</v>
      </c>
      <c r="H748" s="247"/>
    </row>
    <row r="749" spans="1:8" ht="33">
      <c r="A749" s="3">
        <f>IF(F749="","",COUNTA($F$625:F749))</f>
        <v>108</v>
      </c>
      <c r="B749" s="28" t="s">
        <v>1707</v>
      </c>
      <c r="C749" s="44" t="s">
        <v>2097</v>
      </c>
      <c r="E749" s="8">
        <v>2330000</v>
      </c>
      <c r="F749" s="8">
        <v>2330000</v>
      </c>
      <c r="G749" s="125">
        <f t="shared" si="21"/>
        <v>0</v>
      </c>
      <c r="H749" s="247"/>
    </row>
    <row r="750" spans="1:8" ht="16.5">
      <c r="A750" s="3">
        <f>IF(F750="","",COUNTA($F$625:F750))</f>
        <v>109</v>
      </c>
      <c r="B750" s="28" t="s">
        <v>1708</v>
      </c>
      <c r="C750" s="44" t="s">
        <v>2097</v>
      </c>
      <c r="E750" s="8">
        <v>1408000</v>
      </c>
      <c r="F750" s="8">
        <v>1408000</v>
      </c>
      <c r="G750" s="125">
        <f t="shared" si="21"/>
        <v>0</v>
      </c>
      <c r="H750" s="247"/>
    </row>
    <row r="751" spans="1:8" ht="33">
      <c r="A751" s="3">
        <f>IF(F751="","",COUNTA($F$625:F751))</f>
        <v>110</v>
      </c>
      <c r="B751" s="28" t="s">
        <v>1709</v>
      </c>
      <c r="C751" s="44" t="s">
        <v>2097</v>
      </c>
      <c r="E751" s="8">
        <v>1990000</v>
      </c>
      <c r="F751" s="8">
        <v>1990000</v>
      </c>
      <c r="G751" s="125">
        <f t="shared" si="21"/>
        <v>0</v>
      </c>
      <c r="H751" s="247"/>
    </row>
    <row r="752" spans="1:8" ht="33">
      <c r="A752" s="3">
        <f>IF(F752="","",COUNTA($F$625:F752))</f>
        <v>111</v>
      </c>
      <c r="B752" s="28" t="s">
        <v>1710</v>
      </c>
      <c r="C752" s="44" t="s">
        <v>2097</v>
      </c>
      <c r="E752" s="8">
        <v>3207000</v>
      </c>
      <c r="F752" s="8">
        <v>3207000</v>
      </c>
      <c r="G752" s="125">
        <f t="shared" si="21"/>
        <v>0</v>
      </c>
      <c r="H752" s="247"/>
    </row>
    <row r="753" spans="1:8" ht="16.5">
      <c r="A753" s="3">
        <f>IF(F753="","",COUNTA($F$625:F753))</f>
        <v>112</v>
      </c>
      <c r="B753" s="28" t="s">
        <v>1711</v>
      </c>
      <c r="C753" s="44" t="s">
        <v>2097</v>
      </c>
      <c r="E753" s="8">
        <v>2350000</v>
      </c>
      <c r="F753" s="8">
        <v>2350000</v>
      </c>
      <c r="G753" s="125">
        <f t="shared" si="21"/>
        <v>0</v>
      </c>
      <c r="H753" s="247"/>
    </row>
    <row r="754" spans="1:8" ht="33">
      <c r="A754" s="3">
        <f>IF(F754="","",COUNTA($F$625:F754))</f>
        <v>113</v>
      </c>
      <c r="B754" s="28" t="s">
        <v>1712</v>
      </c>
      <c r="C754" s="44" t="s">
        <v>2097</v>
      </c>
      <c r="E754" s="8">
        <v>3250000</v>
      </c>
      <c r="F754" s="8">
        <v>3250000</v>
      </c>
      <c r="G754" s="125">
        <f t="shared" si="21"/>
        <v>0</v>
      </c>
      <c r="H754" s="247"/>
    </row>
    <row r="755" spans="1:8" ht="33">
      <c r="A755" s="3">
        <f>IF(F755="","",COUNTA($F$625:F755))</f>
        <v>114</v>
      </c>
      <c r="B755" s="28" t="s">
        <v>1713</v>
      </c>
      <c r="C755" s="44" t="s">
        <v>2097</v>
      </c>
      <c r="E755" s="8">
        <v>3330000</v>
      </c>
      <c r="F755" s="8">
        <v>3330000</v>
      </c>
      <c r="G755" s="125">
        <f t="shared" si="21"/>
        <v>0</v>
      </c>
      <c r="H755" s="247"/>
    </row>
    <row r="756" spans="1:8" ht="17.25">
      <c r="A756" s="3">
        <f>IF(F756="","",COUNTA($F$625:F756))</f>
      </c>
      <c r="B756" s="32" t="s">
        <v>1741</v>
      </c>
      <c r="C756" s="44"/>
      <c r="E756" s="8"/>
      <c r="F756" s="8"/>
      <c r="G756" s="125"/>
      <c r="H756" s="247" t="s">
        <v>1208</v>
      </c>
    </row>
    <row r="757" spans="1:8" ht="33">
      <c r="A757" s="3">
        <f>IF(F757="","",COUNTA($F$625:F757))</f>
        <v>115</v>
      </c>
      <c r="B757" s="28" t="s">
        <v>1714</v>
      </c>
      <c r="C757" s="44" t="s">
        <v>2097</v>
      </c>
      <c r="E757" s="8">
        <v>738000</v>
      </c>
      <c r="F757" s="8">
        <v>738000</v>
      </c>
      <c r="G757" s="125">
        <f t="shared" si="21"/>
        <v>0</v>
      </c>
      <c r="H757" s="247"/>
    </row>
    <row r="758" spans="1:8" ht="33">
      <c r="A758" s="3">
        <f>IF(F758="","",COUNTA($F$625:F758))</f>
        <v>116</v>
      </c>
      <c r="B758" s="28" t="s">
        <v>1715</v>
      </c>
      <c r="C758" s="44" t="s">
        <v>2097</v>
      </c>
      <c r="E758" s="8">
        <v>1553000</v>
      </c>
      <c r="F758" s="8">
        <v>1553000</v>
      </c>
      <c r="G758" s="125">
        <f t="shared" si="21"/>
        <v>0</v>
      </c>
      <c r="H758" s="247"/>
    </row>
    <row r="759" spans="1:8" ht="33">
      <c r="A759" s="3">
        <f>IF(F759="","",COUNTA($F$625:F759))</f>
        <v>117</v>
      </c>
      <c r="B759" s="28" t="s">
        <v>1716</v>
      </c>
      <c r="C759" s="44" t="s">
        <v>2097</v>
      </c>
      <c r="E759" s="8">
        <v>1868000</v>
      </c>
      <c r="F759" s="8">
        <v>1868000</v>
      </c>
      <c r="G759" s="125">
        <f t="shared" si="21"/>
        <v>0</v>
      </c>
      <c r="H759" s="247"/>
    </row>
    <row r="760" spans="1:8" ht="33">
      <c r="A760" s="3">
        <f>IF(F760="","",COUNTA($F$625:F760))</f>
        <v>118</v>
      </c>
      <c r="B760" s="28" t="s">
        <v>1717</v>
      </c>
      <c r="C760" s="44" t="s">
        <v>2097</v>
      </c>
      <c r="E760" s="8">
        <v>2089000</v>
      </c>
      <c r="F760" s="8">
        <v>2089000</v>
      </c>
      <c r="G760" s="125">
        <f t="shared" si="21"/>
        <v>0</v>
      </c>
      <c r="H760" s="247"/>
    </row>
    <row r="761" spans="1:8" ht="33">
      <c r="A761" s="3">
        <f>IF(F761="","",COUNTA($F$625:F761))</f>
        <v>119</v>
      </c>
      <c r="B761" s="28" t="s">
        <v>1718</v>
      </c>
      <c r="C761" s="44" t="s">
        <v>2097</v>
      </c>
      <c r="E761" s="8">
        <v>2729000</v>
      </c>
      <c r="F761" s="8">
        <v>2729000</v>
      </c>
      <c r="G761" s="125">
        <f t="shared" si="21"/>
        <v>0</v>
      </c>
      <c r="H761" s="247"/>
    </row>
    <row r="762" spans="1:8" ht="33">
      <c r="A762" s="3">
        <f>IF(F762="","",COUNTA($F$625:F762))</f>
        <v>120</v>
      </c>
      <c r="B762" s="28" t="s">
        <v>1719</v>
      </c>
      <c r="C762" s="44" t="s">
        <v>2097</v>
      </c>
      <c r="E762" s="8">
        <v>2819000</v>
      </c>
      <c r="F762" s="8">
        <v>2819000</v>
      </c>
      <c r="G762" s="125">
        <f t="shared" si="21"/>
        <v>0</v>
      </c>
      <c r="H762" s="247"/>
    </row>
    <row r="763" spans="1:8" ht="16.5">
      <c r="A763" s="3">
        <f>IF(F763="","",COUNTA($F$625:F763))</f>
        <v>121</v>
      </c>
      <c r="B763" s="28" t="s">
        <v>1720</v>
      </c>
      <c r="C763" s="44" t="s">
        <v>2098</v>
      </c>
      <c r="E763" s="8">
        <v>239000</v>
      </c>
      <c r="F763" s="8">
        <v>239000</v>
      </c>
      <c r="G763" s="125">
        <f t="shared" si="21"/>
        <v>0</v>
      </c>
      <c r="H763" s="247"/>
    </row>
    <row r="764" spans="1:8" ht="16.5">
      <c r="A764" s="3">
        <f>IF(F764="","",COUNTA($F$625:F764))</f>
        <v>122</v>
      </c>
      <c r="B764" s="28" t="s">
        <v>1721</v>
      </c>
      <c r="C764" s="44" t="s">
        <v>2098</v>
      </c>
      <c r="E764" s="8">
        <v>299000</v>
      </c>
      <c r="F764" s="8">
        <v>299000</v>
      </c>
      <c r="G764" s="125">
        <f t="shared" si="21"/>
        <v>0</v>
      </c>
      <c r="H764" s="247"/>
    </row>
    <row r="765" spans="1:8" ht="17.25">
      <c r="A765" s="3">
        <f>IF(F765="","",COUNTA($F$625:F765))</f>
      </c>
      <c r="B765" s="32" t="s">
        <v>1742</v>
      </c>
      <c r="C765" s="44"/>
      <c r="E765" s="8"/>
      <c r="F765" s="8"/>
      <c r="G765" s="125"/>
      <c r="H765" s="247" t="s">
        <v>1207</v>
      </c>
    </row>
    <row r="766" spans="1:8" ht="33">
      <c r="A766" s="3">
        <f>IF(F766="","",COUNTA($F$625:F766))</f>
        <v>123</v>
      </c>
      <c r="B766" s="28" t="s">
        <v>1722</v>
      </c>
      <c r="C766" s="44" t="s">
        <v>2097</v>
      </c>
      <c r="E766" s="8">
        <v>1350000</v>
      </c>
      <c r="F766" s="8">
        <v>1350000</v>
      </c>
      <c r="G766" s="125">
        <f t="shared" si="21"/>
        <v>0</v>
      </c>
      <c r="H766" s="267"/>
    </row>
    <row r="767" spans="1:8" ht="33">
      <c r="A767" s="3">
        <f>IF(F767="","",COUNTA($F$625:F767))</f>
        <v>124</v>
      </c>
      <c r="B767" s="28" t="s">
        <v>1723</v>
      </c>
      <c r="C767" s="44" t="s">
        <v>2097</v>
      </c>
      <c r="E767" s="8">
        <v>1821000</v>
      </c>
      <c r="F767" s="8">
        <v>1821000</v>
      </c>
      <c r="G767" s="125">
        <f t="shared" si="21"/>
        <v>0</v>
      </c>
      <c r="H767" s="267"/>
    </row>
    <row r="768" spans="1:8" ht="33">
      <c r="A768" s="3">
        <f>IF(F768="","",COUNTA($F$625:F768))</f>
        <v>125</v>
      </c>
      <c r="B768" s="28" t="s">
        <v>1724</v>
      </c>
      <c r="C768" s="44" t="s">
        <v>2097</v>
      </c>
      <c r="E768" s="8">
        <v>2273000</v>
      </c>
      <c r="F768" s="8">
        <v>2273000</v>
      </c>
      <c r="G768" s="125">
        <f t="shared" si="21"/>
        <v>0</v>
      </c>
      <c r="H768" s="267"/>
    </row>
    <row r="769" spans="1:8" ht="33">
      <c r="A769" s="3">
        <f>IF(F769="","",COUNTA($F$625:F769))</f>
        <v>126</v>
      </c>
      <c r="B769" s="28" t="s">
        <v>1725</v>
      </c>
      <c r="C769" s="44" t="s">
        <v>2097</v>
      </c>
      <c r="E769" s="8">
        <v>2438000</v>
      </c>
      <c r="F769" s="8">
        <v>2438000</v>
      </c>
      <c r="G769" s="125">
        <f t="shared" si="21"/>
        <v>0</v>
      </c>
      <c r="H769" s="267"/>
    </row>
    <row r="770" spans="1:8" ht="33">
      <c r="A770" s="3">
        <f>IF(F770="","",COUNTA($F$625:F770))</f>
        <v>127</v>
      </c>
      <c r="B770" s="28" t="s">
        <v>1726</v>
      </c>
      <c r="C770" s="44" t="s">
        <v>2097</v>
      </c>
      <c r="E770" s="8">
        <v>821000</v>
      </c>
      <c r="F770" s="8">
        <v>821000</v>
      </c>
      <c r="G770" s="125">
        <f t="shared" si="21"/>
        <v>0</v>
      </c>
      <c r="H770" s="267"/>
    </row>
    <row r="771" spans="1:8" ht="33">
      <c r="A771" s="3">
        <f>IF(F771="","",COUNTA($F$625:F771))</f>
        <v>128</v>
      </c>
      <c r="B771" s="28" t="s">
        <v>1727</v>
      </c>
      <c r="C771" s="44" t="s">
        <v>2097</v>
      </c>
      <c r="E771" s="8">
        <v>1418000</v>
      </c>
      <c r="F771" s="8">
        <v>1418000</v>
      </c>
      <c r="G771" s="125">
        <f t="shared" si="21"/>
        <v>0</v>
      </c>
      <c r="H771" s="267"/>
    </row>
    <row r="772" spans="1:8" ht="33">
      <c r="A772" s="3">
        <f>IF(F772="","",COUNTA($F$625:F772))</f>
        <v>129</v>
      </c>
      <c r="B772" s="28" t="s">
        <v>1728</v>
      </c>
      <c r="C772" s="44" t="s">
        <v>2097</v>
      </c>
      <c r="E772" s="8">
        <v>1569000</v>
      </c>
      <c r="F772" s="8">
        <v>1569000</v>
      </c>
      <c r="G772" s="125">
        <f t="shared" si="21"/>
        <v>0</v>
      </c>
      <c r="H772" s="267"/>
    </row>
    <row r="773" spans="1:8" ht="33">
      <c r="A773" s="3">
        <f>IF(F773="","",COUNTA($F$625:F773))</f>
        <v>130</v>
      </c>
      <c r="B773" s="28" t="s">
        <v>1729</v>
      </c>
      <c r="C773" s="44" t="s">
        <v>2097</v>
      </c>
      <c r="E773" s="8">
        <v>1287000</v>
      </c>
      <c r="F773" s="8">
        <v>1287000</v>
      </c>
      <c r="G773" s="125">
        <f t="shared" si="21"/>
        <v>0</v>
      </c>
      <c r="H773" s="267"/>
    </row>
    <row r="774" spans="1:8" ht="33">
      <c r="A774" s="3">
        <f>IF(F774="","",COUNTA($F$625:F774))</f>
        <v>131</v>
      </c>
      <c r="B774" s="28" t="s">
        <v>1730</v>
      </c>
      <c r="C774" s="44" t="s">
        <v>2097</v>
      </c>
      <c r="E774" s="8">
        <v>1932000</v>
      </c>
      <c r="F774" s="8">
        <v>1932000</v>
      </c>
      <c r="G774" s="125">
        <f t="shared" si="21"/>
        <v>0</v>
      </c>
      <c r="H774" s="267"/>
    </row>
    <row r="775" spans="1:8" ht="33">
      <c r="A775" s="3">
        <f>IF(F775="","",COUNTA($F$625:F775))</f>
        <v>132</v>
      </c>
      <c r="B775" s="28" t="s">
        <v>1731</v>
      </c>
      <c r="C775" s="44" t="s">
        <v>2097</v>
      </c>
      <c r="E775" s="8">
        <v>2552000</v>
      </c>
      <c r="F775" s="8">
        <v>2552000</v>
      </c>
      <c r="G775" s="125">
        <f t="shared" si="21"/>
        <v>0</v>
      </c>
      <c r="H775" s="267"/>
    </row>
    <row r="776" spans="1:8" ht="33">
      <c r="A776" s="3">
        <f>IF(F776="","",COUNTA($F$625:F776))</f>
        <v>133</v>
      </c>
      <c r="B776" s="28" t="s">
        <v>1732</v>
      </c>
      <c r="C776" s="44" t="s">
        <v>2097</v>
      </c>
      <c r="E776" s="8">
        <v>2603000</v>
      </c>
      <c r="F776" s="8">
        <v>2603000</v>
      </c>
      <c r="G776" s="125">
        <f t="shared" si="21"/>
        <v>0</v>
      </c>
      <c r="H776" s="267"/>
    </row>
    <row r="777" spans="1:8" ht="16.5">
      <c r="A777" s="3">
        <f>IF(F777="","",COUNTA($F$625:F777))</f>
        <v>134</v>
      </c>
      <c r="B777" s="28" t="s">
        <v>1733</v>
      </c>
      <c r="C777" s="44" t="s">
        <v>2097</v>
      </c>
      <c r="E777" s="8">
        <v>2882000</v>
      </c>
      <c r="F777" s="8">
        <v>2882000</v>
      </c>
      <c r="G777" s="125">
        <f t="shared" si="21"/>
        <v>0</v>
      </c>
      <c r="H777" s="267"/>
    </row>
    <row r="778" spans="1:8" ht="17.25">
      <c r="A778" s="3">
        <f>IF(F778="","",COUNTA($F$625:F778))</f>
      </c>
      <c r="B778" s="51" t="s">
        <v>284</v>
      </c>
      <c r="C778" s="52"/>
      <c r="G778" s="125"/>
      <c r="H778" s="247" t="s">
        <v>285</v>
      </c>
    </row>
    <row r="779" spans="1:8" ht="16.5">
      <c r="A779" s="3">
        <f>IF(F779="","",COUNTA($F$625:F779))</f>
        <v>135</v>
      </c>
      <c r="B779" s="53" t="s">
        <v>286</v>
      </c>
      <c r="C779" s="44" t="s">
        <v>2097</v>
      </c>
      <c r="E779" s="1">
        <v>2532000</v>
      </c>
      <c r="F779" s="1">
        <v>2532000</v>
      </c>
      <c r="G779" s="125">
        <f t="shared" si="21"/>
        <v>0</v>
      </c>
      <c r="H779" s="247"/>
    </row>
    <row r="780" spans="1:8" ht="49.5">
      <c r="A780" s="3">
        <f>IF(F780="","",COUNTA($F$625:F780))</f>
        <v>136</v>
      </c>
      <c r="B780" s="53" t="s">
        <v>287</v>
      </c>
      <c r="C780" s="44" t="s">
        <v>2097</v>
      </c>
      <c r="E780" s="6">
        <v>1537000</v>
      </c>
      <c r="F780" s="6">
        <v>1537000</v>
      </c>
      <c r="G780" s="125">
        <f t="shared" si="21"/>
        <v>0</v>
      </c>
      <c r="H780" s="247"/>
    </row>
    <row r="781" spans="1:8" ht="33">
      <c r="A781" s="3">
        <f>IF(F781="","",COUNTA($F$625:F781))</f>
        <v>137</v>
      </c>
      <c r="B781" s="53" t="s">
        <v>288</v>
      </c>
      <c r="C781" s="44" t="s">
        <v>2097</v>
      </c>
      <c r="E781" s="6">
        <v>1810000</v>
      </c>
      <c r="F781" s="6">
        <v>1810000</v>
      </c>
      <c r="G781" s="125">
        <f t="shared" si="21"/>
        <v>0</v>
      </c>
      <c r="H781" s="247"/>
    </row>
    <row r="782" spans="1:8" ht="49.5">
      <c r="A782" s="3">
        <f>IF(F782="","",COUNTA($F$625:F782))</f>
        <v>138</v>
      </c>
      <c r="B782" s="53" t="s">
        <v>289</v>
      </c>
      <c r="C782" s="44" t="s">
        <v>2097</v>
      </c>
      <c r="E782" s="6">
        <v>980000</v>
      </c>
      <c r="F782" s="6">
        <v>980000</v>
      </c>
      <c r="G782" s="125">
        <f t="shared" si="21"/>
        <v>0</v>
      </c>
      <c r="H782" s="247"/>
    </row>
    <row r="783" spans="1:8" ht="33">
      <c r="A783" s="3">
        <f>IF(F783="","",COUNTA($F$625:F783))</f>
        <v>139</v>
      </c>
      <c r="B783" s="53" t="s">
        <v>290</v>
      </c>
      <c r="C783" s="44" t="s">
        <v>2097</v>
      </c>
      <c r="E783" s="6">
        <v>2405000</v>
      </c>
      <c r="F783" s="6">
        <v>2405000</v>
      </c>
      <c r="G783" s="125">
        <f t="shared" si="21"/>
        <v>0</v>
      </c>
      <c r="H783" s="247"/>
    </row>
    <row r="784" spans="1:8" ht="33">
      <c r="A784" s="3">
        <f>IF(F784="","",COUNTA($F$625:F784))</f>
        <v>140</v>
      </c>
      <c r="B784" s="53" t="s">
        <v>291</v>
      </c>
      <c r="C784" s="44" t="s">
        <v>2097</v>
      </c>
      <c r="E784" s="6">
        <v>1723000</v>
      </c>
      <c r="F784" s="6">
        <v>1723000</v>
      </c>
      <c r="G784" s="125">
        <f t="shared" si="21"/>
        <v>0</v>
      </c>
      <c r="H784" s="247"/>
    </row>
    <row r="785" spans="1:8" ht="16.5">
      <c r="A785" s="3">
        <f>IF(F785="","",COUNTA($F$625:F785))</f>
        <v>141</v>
      </c>
      <c r="B785" s="53" t="s">
        <v>292</v>
      </c>
      <c r="C785" s="44" t="s">
        <v>2097</v>
      </c>
      <c r="E785" s="6">
        <v>1690000</v>
      </c>
      <c r="F785" s="6">
        <v>1690000</v>
      </c>
      <c r="G785" s="125">
        <f t="shared" si="21"/>
        <v>0</v>
      </c>
      <c r="H785" s="247"/>
    </row>
    <row r="786" spans="1:8" ht="16.5">
      <c r="A786" s="3">
        <f>IF(F786="","",COUNTA($F$625:F786))</f>
        <v>142</v>
      </c>
      <c r="B786" s="53" t="s">
        <v>1456</v>
      </c>
      <c r="C786" s="44" t="s">
        <v>2098</v>
      </c>
      <c r="E786" s="6">
        <v>281000</v>
      </c>
      <c r="F786" s="6">
        <v>281000</v>
      </c>
      <c r="G786" s="125">
        <f t="shared" si="21"/>
        <v>0</v>
      </c>
      <c r="H786" s="247"/>
    </row>
    <row r="787" spans="1:8" ht="16.5">
      <c r="A787" s="3">
        <f>IF(F787="","",COUNTA($F$625:F787))</f>
        <v>143</v>
      </c>
      <c r="B787" s="53" t="s">
        <v>1457</v>
      </c>
      <c r="C787" s="44" t="s">
        <v>2098</v>
      </c>
      <c r="E787" s="6">
        <v>375000</v>
      </c>
      <c r="F787" s="6">
        <v>375000</v>
      </c>
      <c r="G787" s="125">
        <f t="shared" si="21"/>
        <v>0</v>
      </c>
      <c r="H787" s="247"/>
    </row>
    <row r="788" spans="1:8" ht="17.25">
      <c r="A788" s="3">
        <f>IF(F788="","",COUNTA($F$625:F788))</f>
      </c>
      <c r="B788" s="51" t="s">
        <v>781</v>
      </c>
      <c r="C788" s="52"/>
      <c r="G788" s="125"/>
      <c r="H788" s="247" t="s">
        <v>1150</v>
      </c>
    </row>
    <row r="789" spans="1:8" ht="33">
      <c r="A789" s="3">
        <f>IF(F789="","",COUNTA($F$625:F789))</f>
        <v>144</v>
      </c>
      <c r="B789" s="53" t="s">
        <v>782</v>
      </c>
      <c r="C789" s="44" t="s">
        <v>2097</v>
      </c>
      <c r="E789" s="1">
        <v>807273</v>
      </c>
      <c r="F789" s="1">
        <v>807273</v>
      </c>
      <c r="G789" s="125">
        <f t="shared" si="21"/>
        <v>0</v>
      </c>
      <c r="H789" s="247"/>
    </row>
    <row r="790" spans="1:8" ht="33">
      <c r="A790" s="3">
        <f>IF(F790="","",COUNTA($F$625:F790))</f>
        <v>145</v>
      </c>
      <c r="B790" s="53" t="s">
        <v>783</v>
      </c>
      <c r="C790" s="44" t="s">
        <v>2097</v>
      </c>
      <c r="E790" s="6">
        <v>834545</v>
      </c>
      <c r="F790" s="6">
        <v>834545</v>
      </c>
      <c r="G790" s="125">
        <f t="shared" si="21"/>
        <v>0</v>
      </c>
      <c r="H790" s="247"/>
    </row>
    <row r="791" spans="1:8" ht="16.5">
      <c r="A791" s="3">
        <f>IF(F791="","",COUNTA($F$625:F791))</f>
        <v>146</v>
      </c>
      <c r="B791" s="53" t="s">
        <v>784</v>
      </c>
      <c r="C791" s="44" t="s">
        <v>2097</v>
      </c>
      <c r="E791" s="6">
        <v>1565455</v>
      </c>
      <c r="F791" s="6">
        <v>1565455</v>
      </c>
      <c r="G791" s="125">
        <f t="shared" si="21"/>
        <v>0</v>
      </c>
      <c r="H791" s="247"/>
    </row>
    <row r="792" spans="1:8" ht="16.5">
      <c r="A792" s="3">
        <f>IF(F792="","",COUNTA($F$625:F792))</f>
        <v>147</v>
      </c>
      <c r="B792" s="53" t="s">
        <v>785</v>
      </c>
      <c r="C792" s="44" t="s">
        <v>2097</v>
      </c>
      <c r="E792" s="6">
        <v>1374545</v>
      </c>
      <c r="F792" s="6">
        <v>1374545</v>
      </c>
      <c r="G792" s="125">
        <f aca="true" t="shared" si="22" ref="G792:G853">(E792-F792)/E792</f>
        <v>0</v>
      </c>
      <c r="H792" s="247"/>
    </row>
    <row r="793" spans="1:8" ht="33">
      <c r="A793" s="3">
        <f>IF(F793="","",COUNTA($F$625:F793))</f>
        <v>148</v>
      </c>
      <c r="B793" s="53" t="s">
        <v>786</v>
      </c>
      <c r="C793" s="44" t="s">
        <v>2098</v>
      </c>
      <c r="E793" s="6">
        <v>525000</v>
      </c>
      <c r="F793" s="6">
        <v>525000</v>
      </c>
      <c r="G793" s="125">
        <f t="shared" si="22"/>
        <v>0</v>
      </c>
      <c r="H793" s="247"/>
    </row>
    <row r="794" spans="1:8" ht="33">
      <c r="A794" s="3">
        <f>IF(F794="","",COUNTA($F$625:F794))</f>
        <v>149</v>
      </c>
      <c r="B794" s="53" t="s">
        <v>787</v>
      </c>
      <c r="C794" s="44" t="s">
        <v>2097</v>
      </c>
      <c r="E794" s="6">
        <v>1765909</v>
      </c>
      <c r="F794" s="6">
        <v>1765909</v>
      </c>
      <c r="G794" s="125">
        <f t="shared" si="22"/>
        <v>0</v>
      </c>
      <c r="H794" s="247"/>
    </row>
    <row r="795" spans="1:8" ht="33">
      <c r="A795" s="3">
        <f>IF(F795="","",COUNTA($F$625:F795))</f>
        <v>150</v>
      </c>
      <c r="B795" s="53" t="s">
        <v>788</v>
      </c>
      <c r="C795" s="44" t="s">
        <v>2097</v>
      </c>
      <c r="E795" s="6">
        <v>2744318</v>
      </c>
      <c r="F795" s="6">
        <v>2744318</v>
      </c>
      <c r="G795" s="125">
        <f t="shared" si="22"/>
        <v>0</v>
      </c>
      <c r="H795" s="247"/>
    </row>
    <row r="796" spans="1:8" ht="16.5">
      <c r="A796" s="3">
        <f>IF(F796="","",COUNTA($F$625:F796))</f>
        <v>151</v>
      </c>
      <c r="B796" s="53" t="s">
        <v>789</v>
      </c>
      <c r="C796" s="44" t="s">
        <v>2098</v>
      </c>
      <c r="E796" s="6">
        <v>358000</v>
      </c>
      <c r="F796" s="6">
        <v>358000</v>
      </c>
      <c r="G796" s="125">
        <f t="shared" si="22"/>
        <v>0</v>
      </c>
      <c r="H796" s="247"/>
    </row>
    <row r="797" spans="1:8" ht="16.5">
      <c r="A797" s="3">
        <f>IF(F797="","",COUNTA($F$625:F797))</f>
        <v>152</v>
      </c>
      <c r="B797" s="53" t="s">
        <v>790</v>
      </c>
      <c r="C797" s="44" t="s">
        <v>2097</v>
      </c>
      <c r="E797" s="6">
        <v>2944773</v>
      </c>
      <c r="F797" s="6">
        <v>2944773</v>
      </c>
      <c r="G797" s="125">
        <f t="shared" si="22"/>
        <v>0</v>
      </c>
      <c r="H797" s="247"/>
    </row>
    <row r="798" spans="1:8" ht="17.25" customHeight="1">
      <c r="A798" s="3">
        <f>IF(F798="","",COUNTA($F$625:F798))</f>
      </c>
      <c r="B798" s="51" t="s">
        <v>1136</v>
      </c>
      <c r="C798" s="52"/>
      <c r="G798" s="125"/>
      <c r="H798" s="240" t="s">
        <v>1149</v>
      </c>
    </row>
    <row r="799" spans="1:8" ht="16.5">
      <c r="A799" s="3">
        <f>IF(F799="","",COUNTA($F$625:F799))</f>
        <v>153</v>
      </c>
      <c r="B799" s="53" t="s">
        <v>1137</v>
      </c>
      <c r="C799" s="44" t="s">
        <v>2097</v>
      </c>
      <c r="E799" s="8">
        <v>761250</v>
      </c>
      <c r="F799" s="8">
        <v>761250</v>
      </c>
      <c r="G799" s="125">
        <f t="shared" si="22"/>
        <v>0</v>
      </c>
      <c r="H799" s="241"/>
    </row>
    <row r="800" spans="1:8" ht="33">
      <c r="A800" s="3">
        <f>IF(F800="","",COUNTA($F$625:F800))</f>
        <v>154</v>
      </c>
      <c r="B800" s="53" t="s">
        <v>1138</v>
      </c>
      <c r="C800" s="44" t="s">
        <v>2097</v>
      </c>
      <c r="E800" s="8">
        <v>1748250</v>
      </c>
      <c r="F800" s="8">
        <v>1748250</v>
      </c>
      <c r="G800" s="125">
        <f t="shared" si="22"/>
        <v>0</v>
      </c>
      <c r="H800" s="241"/>
    </row>
    <row r="801" spans="1:8" ht="16.5">
      <c r="A801" s="3">
        <f>IF(F801="","",COUNTA($F$625:F801))</f>
        <v>155</v>
      </c>
      <c r="B801" s="53" t="s">
        <v>1139</v>
      </c>
      <c r="C801" s="44" t="s">
        <v>2097</v>
      </c>
      <c r="E801" s="8">
        <v>719250</v>
      </c>
      <c r="F801" s="8">
        <v>719250</v>
      </c>
      <c r="G801" s="125">
        <f t="shared" si="22"/>
        <v>0</v>
      </c>
      <c r="H801" s="241"/>
    </row>
    <row r="802" spans="1:8" ht="33">
      <c r="A802" s="3">
        <f>IF(F802="","",COUNTA($F$625:F802))</f>
        <v>156</v>
      </c>
      <c r="B802" s="53" t="s">
        <v>1140</v>
      </c>
      <c r="C802" s="44" t="s">
        <v>2097</v>
      </c>
      <c r="E802" s="8">
        <v>1533000</v>
      </c>
      <c r="F802" s="8">
        <v>1533000</v>
      </c>
      <c r="G802" s="125">
        <f t="shared" si="22"/>
        <v>0</v>
      </c>
      <c r="H802" s="241"/>
    </row>
    <row r="803" spans="1:8" ht="16.5">
      <c r="A803" s="3">
        <f>IF(F803="","",COUNTA($F$625:F803))</f>
        <v>157</v>
      </c>
      <c r="B803" s="53" t="s">
        <v>1146</v>
      </c>
      <c r="C803" s="44" t="s">
        <v>2097</v>
      </c>
      <c r="E803" s="8">
        <v>761250</v>
      </c>
      <c r="F803" s="8">
        <v>761250</v>
      </c>
      <c r="G803" s="125">
        <f t="shared" si="22"/>
        <v>0</v>
      </c>
      <c r="H803" s="241"/>
    </row>
    <row r="804" spans="1:8" ht="33">
      <c r="A804" s="3">
        <f>IF(F804="","",COUNTA($F$625:F804))</f>
        <v>158</v>
      </c>
      <c r="B804" s="53" t="s">
        <v>1141</v>
      </c>
      <c r="C804" s="44" t="s">
        <v>2097</v>
      </c>
      <c r="E804" s="8">
        <v>1617000</v>
      </c>
      <c r="F804" s="8">
        <v>1617000</v>
      </c>
      <c r="G804" s="125">
        <f t="shared" si="22"/>
        <v>0</v>
      </c>
      <c r="H804" s="241"/>
    </row>
    <row r="805" spans="1:8" ht="33">
      <c r="A805" s="3">
        <f>IF(F805="","",COUNTA($F$625:F805))</f>
        <v>159</v>
      </c>
      <c r="B805" s="53" t="s">
        <v>1142</v>
      </c>
      <c r="C805" s="44" t="s">
        <v>2097</v>
      </c>
      <c r="E805" s="8">
        <v>2073750</v>
      </c>
      <c r="F805" s="8">
        <v>2073750</v>
      </c>
      <c r="G805" s="125">
        <f t="shared" si="22"/>
        <v>0</v>
      </c>
      <c r="H805" s="241"/>
    </row>
    <row r="806" spans="1:8" ht="33">
      <c r="A806" s="3">
        <f>IF(F806="","",COUNTA($F$625:F806))</f>
        <v>160</v>
      </c>
      <c r="B806" s="53" t="s">
        <v>1143</v>
      </c>
      <c r="C806" s="44" t="s">
        <v>2097</v>
      </c>
      <c r="E806" s="8">
        <v>1664250</v>
      </c>
      <c r="F806" s="8">
        <v>1664250</v>
      </c>
      <c r="G806" s="125">
        <f t="shared" si="22"/>
        <v>0</v>
      </c>
      <c r="H806" s="241"/>
    </row>
    <row r="807" spans="1:8" ht="33">
      <c r="A807" s="3">
        <f>IF(F807="","",COUNTA($F$625:F807))</f>
        <v>161</v>
      </c>
      <c r="B807" s="53" t="s">
        <v>1144</v>
      </c>
      <c r="C807" s="44" t="s">
        <v>2097</v>
      </c>
      <c r="E807" s="8">
        <v>2898000</v>
      </c>
      <c r="F807" s="8">
        <v>2898000</v>
      </c>
      <c r="G807" s="125">
        <f t="shared" si="22"/>
        <v>0</v>
      </c>
      <c r="H807" s="241"/>
    </row>
    <row r="808" spans="1:8" ht="33">
      <c r="A808" s="3">
        <f>IF(F808="","",COUNTA($F$625:F808))</f>
        <v>162</v>
      </c>
      <c r="B808" s="53" t="s">
        <v>1145</v>
      </c>
      <c r="C808" s="44" t="s">
        <v>2097</v>
      </c>
      <c r="E808" s="8">
        <v>2992500</v>
      </c>
      <c r="F808" s="8">
        <v>2992500</v>
      </c>
      <c r="G808" s="125">
        <f t="shared" si="22"/>
        <v>0</v>
      </c>
      <c r="H808" s="241"/>
    </row>
    <row r="809" spans="1:8" ht="16.5">
      <c r="A809" s="3">
        <f>IF(F809="","",COUNTA($F$625:F809))</f>
        <v>163</v>
      </c>
      <c r="B809" s="53" t="s">
        <v>1148</v>
      </c>
      <c r="C809" s="44" t="s">
        <v>2098</v>
      </c>
      <c r="E809" s="8">
        <v>383250</v>
      </c>
      <c r="F809" s="8">
        <v>383250</v>
      </c>
      <c r="G809" s="125">
        <f t="shared" si="22"/>
        <v>0</v>
      </c>
      <c r="H809" s="241"/>
    </row>
    <row r="810" spans="1:8" ht="16.5">
      <c r="A810" s="3">
        <f>IF(F810="","",COUNTA($F$625:F810))</f>
        <v>164</v>
      </c>
      <c r="B810" s="53" t="s">
        <v>1147</v>
      </c>
      <c r="C810" s="44" t="s">
        <v>2098</v>
      </c>
      <c r="E810" s="6">
        <v>236250</v>
      </c>
      <c r="F810" s="6">
        <v>236250</v>
      </c>
      <c r="G810" s="125">
        <f t="shared" si="22"/>
        <v>0</v>
      </c>
      <c r="H810" s="242"/>
    </row>
    <row r="811" spans="1:8" ht="17.25" customHeight="1">
      <c r="A811" s="3">
        <f>IF(F811="","",COUNTA($F$625:F811))</f>
      </c>
      <c r="B811" s="51" t="s">
        <v>1158</v>
      </c>
      <c r="C811" s="52"/>
      <c r="G811" s="125"/>
      <c r="H811" s="240" t="s">
        <v>1159</v>
      </c>
    </row>
    <row r="812" spans="1:8" ht="33">
      <c r="A812" s="3">
        <f>IF(F812="","",COUNTA($F$625:F812))</f>
        <v>165</v>
      </c>
      <c r="B812" s="53" t="s">
        <v>1160</v>
      </c>
      <c r="C812" s="44" t="s">
        <v>2097</v>
      </c>
      <c r="D812" s="44" t="s">
        <v>1161</v>
      </c>
      <c r="E812" s="8">
        <f>2993000/1.1</f>
        <v>2720909.090909091</v>
      </c>
      <c r="F812" s="8">
        <f>2509000/1.1</f>
        <v>2280909.090909091</v>
      </c>
      <c r="G812" s="125">
        <f t="shared" si="22"/>
        <v>0.16171065820247243</v>
      </c>
      <c r="H812" s="241"/>
    </row>
    <row r="813" spans="1:9" ht="33">
      <c r="A813" s="3">
        <f>IF(F813="","",COUNTA($F$625:F813))</f>
        <v>166</v>
      </c>
      <c r="B813" s="53" t="s">
        <v>2307</v>
      </c>
      <c r="C813" s="44" t="s">
        <v>2097</v>
      </c>
      <c r="D813" s="44" t="s">
        <v>1161</v>
      </c>
      <c r="E813" s="8">
        <f>2289000/1.1</f>
        <v>2080909.0909090908</v>
      </c>
      <c r="F813" s="8">
        <f>1919000/1.1</f>
        <v>1744545.4545454544</v>
      </c>
      <c r="G813" s="125">
        <f t="shared" si="22"/>
        <v>0.16164263870685894</v>
      </c>
      <c r="H813" s="241"/>
      <c r="I813" s="188">
        <f>MIN(G812:G821)</f>
        <v>0.012406947890818974</v>
      </c>
    </row>
    <row r="814" spans="1:9" ht="16.5">
      <c r="A814" s="3">
        <f>IF(F814="","",COUNTA($F$625:F814))</f>
        <v>167</v>
      </c>
      <c r="B814" s="53" t="s">
        <v>1162</v>
      </c>
      <c r="C814" s="44" t="s">
        <v>2097</v>
      </c>
      <c r="D814" s="44" t="s">
        <v>1161</v>
      </c>
      <c r="E814" s="8">
        <f>2352000/1.1</f>
        <v>2138181.818181818</v>
      </c>
      <c r="F814" s="8">
        <f>1972000/1.1</f>
        <v>1792727.2727272725</v>
      </c>
      <c r="G814" s="125">
        <f t="shared" si="22"/>
        <v>0.16156462585034015</v>
      </c>
      <c r="H814" s="241"/>
      <c r="I814" s="188">
        <f>MAX(G812:G821)</f>
        <v>0.2222222222222222</v>
      </c>
    </row>
    <row r="815" spans="1:9" ht="16.5">
      <c r="A815" s="3">
        <f>IF(F815="","",COUNTA($F$625:F815))</f>
        <v>168</v>
      </c>
      <c r="B815" s="53" t="s">
        <v>1163</v>
      </c>
      <c r="C815" s="44" t="s">
        <v>2097</v>
      </c>
      <c r="D815" s="44" t="s">
        <v>1161</v>
      </c>
      <c r="E815" s="8">
        <f>1713000/1.1</f>
        <v>1557272.727272727</v>
      </c>
      <c r="F815" s="8">
        <f>1436000/1.1</f>
        <v>1305454.5454545454</v>
      </c>
      <c r="G815" s="125">
        <f t="shared" si="22"/>
        <v>0.16170461179217738</v>
      </c>
      <c r="H815" s="241"/>
      <c r="I815" s="284"/>
    </row>
    <row r="816" spans="1:9" ht="16.5">
      <c r="A816" s="3">
        <f>IF(F816="","",COUNTA($F$625:F816))</f>
        <v>169</v>
      </c>
      <c r="B816" s="53" t="s">
        <v>1164</v>
      </c>
      <c r="C816" s="44" t="s">
        <v>2097</v>
      </c>
      <c r="D816" s="44" t="s">
        <v>1161</v>
      </c>
      <c r="E816" s="8">
        <f>1081000/1.1</f>
        <v>982727.2727272727</v>
      </c>
      <c r="F816" s="8">
        <f>874000/1.1</f>
        <v>794545.4545454545</v>
      </c>
      <c r="G816" s="125">
        <f t="shared" si="22"/>
        <v>0.19148936170212771</v>
      </c>
      <c r="H816" s="241"/>
      <c r="I816" s="284"/>
    </row>
    <row r="817" spans="1:9" ht="16.5">
      <c r="A817" s="3">
        <f>IF(F817="","",COUNTA($F$625:F817))</f>
        <v>170</v>
      </c>
      <c r="B817" s="53" t="s">
        <v>1165</v>
      </c>
      <c r="C817" s="44" t="s">
        <v>2097</v>
      </c>
      <c r="D817" s="44" t="s">
        <v>1166</v>
      </c>
      <c r="E817" s="8">
        <f>936000/1.1</f>
        <v>850909.0909090908</v>
      </c>
      <c r="F817" s="8">
        <f>728000/1.1</f>
        <v>661818.1818181818</v>
      </c>
      <c r="G817" s="125">
        <f t="shared" si="22"/>
        <v>0.2222222222222222</v>
      </c>
      <c r="H817" s="241"/>
      <c r="I817" s="284"/>
    </row>
    <row r="818" spans="1:9" ht="33">
      <c r="A818" s="3">
        <f>IF(F818="","",COUNTA($F$625:F818))</f>
        <v>171</v>
      </c>
      <c r="B818" s="53" t="s">
        <v>1167</v>
      </c>
      <c r="C818" s="44" t="s">
        <v>2097</v>
      </c>
      <c r="D818" s="44" t="s">
        <v>1161</v>
      </c>
      <c r="E818" s="8">
        <f>2172000/1.1</f>
        <v>1974545.4545454544</v>
      </c>
      <c r="F818" s="8">
        <f>1756000/1.1</f>
        <v>1596363.6363636362</v>
      </c>
      <c r="G818" s="125">
        <f t="shared" si="22"/>
        <v>0.19152854511970532</v>
      </c>
      <c r="H818" s="241"/>
      <c r="I818" s="284"/>
    </row>
    <row r="819" spans="1:9" ht="16.5">
      <c r="A819" s="3">
        <f>IF(F819="","",COUNTA($F$625:F819))</f>
        <v>172</v>
      </c>
      <c r="B819" s="53" t="s">
        <v>1168</v>
      </c>
      <c r="C819" s="44" t="s">
        <v>2097</v>
      </c>
      <c r="D819" s="44" t="s">
        <v>1161</v>
      </c>
      <c r="E819" s="8">
        <f>1503000/1.1</f>
        <v>1366363.6363636362</v>
      </c>
      <c r="F819" s="8">
        <f>1215000/1.1</f>
        <v>1104545.4545454544</v>
      </c>
      <c r="G819" s="125">
        <f t="shared" si="22"/>
        <v>0.19161676646706594</v>
      </c>
      <c r="H819" s="241"/>
      <c r="I819" s="284"/>
    </row>
    <row r="820" spans="1:9" ht="16.5">
      <c r="A820" s="3">
        <f>IF(F820="","",COUNTA($F$625:F820))</f>
        <v>173</v>
      </c>
      <c r="B820" s="53" t="s">
        <v>1169</v>
      </c>
      <c r="C820" s="44" t="s">
        <v>2098</v>
      </c>
      <c r="D820" s="44" t="s">
        <v>1170</v>
      </c>
      <c r="E820" s="8">
        <f>3329000/1.1</f>
        <v>3026363.6363636362</v>
      </c>
      <c r="F820" s="8">
        <f>3007000/1.1</f>
        <v>2733636.3636363633</v>
      </c>
      <c r="G820" s="125">
        <f t="shared" si="22"/>
        <v>0.09672574346650653</v>
      </c>
      <c r="H820" s="241"/>
      <c r="I820" s="284"/>
    </row>
    <row r="821" spans="1:9" ht="16.5">
      <c r="A821" s="3">
        <f>IF(F821="","",COUNTA($F$625:F821))</f>
        <v>174</v>
      </c>
      <c r="B821" s="53" t="s">
        <v>3272</v>
      </c>
      <c r="C821" s="44" t="s">
        <v>2098</v>
      </c>
      <c r="D821" s="44" t="s">
        <v>1171</v>
      </c>
      <c r="E821" s="8">
        <f>403000/1.1</f>
        <v>366363.63636363635</v>
      </c>
      <c r="F821" s="8">
        <f>398000/1.1</f>
        <v>361818.18181818177</v>
      </c>
      <c r="G821" s="125">
        <f t="shared" si="22"/>
        <v>0.012406947890818974</v>
      </c>
      <c r="H821" s="241"/>
      <c r="I821" s="284"/>
    </row>
    <row r="822" spans="1:8" ht="17.25" customHeight="1">
      <c r="A822" s="3">
        <f>IF(F822="","",COUNTA($F$625:F822))</f>
      </c>
      <c r="B822" s="51" t="s">
        <v>1585</v>
      </c>
      <c r="C822" s="52"/>
      <c r="G822" s="125"/>
      <c r="H822" s="240" t="s">
        <v>1586</v>
      </c>
    </row>
    <row r="823" spans="1:8" ht="33">
      <c r="A823" s="3">
        <f>IF(F823="","",COUNTA($F$625:F823))</f>
        <v>175</v>
      </c>
      <c r="B823" s="53" t="s">
        <v>1587</v>
      </c>
      <c r="C823" s="44" t="s">
        <v>2097</v>
      </c>
      <c r="E823" s="8">
        <v>1940000</v>
      </c>
      <c r="F823" s="8">
        <v>1940000</v>
      </c>
      <c r="G823" s="125">
        <f t="shared" si="22"/>
        <v>0</v>
      </c>
      <c r="H823" s="241"/>
    </row>
    <row r="824" spans="1:8" ht="33">
      <c r="A824" s="3">
        <f>IF(F824="","",COUNTA($F$625:F824))</f>
        <v>176</v>
      </c>
      <c r="B824" s="53" t="s">
        <v>1588</v>
      </c>
      <c r="C824" s="44" t="s">
        <v>2097</v>
      </c>
      <c r="E824" s="8">
        <v>2745000</v>
      </c>
      <c r="F824" s="8">
        <v>2745000</v>
      </c>
      <c r="G824" s="125">
        <f t="shared" si="22"/>
        <v>0</v>
      </c>
      <c r="H824" s="241"/>
    </row>
    <row r="825" spans="1:8" ht="33">
      <c r="A825" s="3">
        <f>IF(F825="","",COUNTA($F$625:F825))</f>
        <v>177</v>
      </c>
      <c r="B825" s="53" t="s">
        <v>1589</v>
      </c>
      <c r="C825" s="44" t="s">
        <v>2097</v>
      </c>
      <c r="E825" s="8">
        <v>1387000</v>
      </c>
      <c r="F825" s="8">
        <v>1387000</v>
      </c>
      <c r="G825" s="125">
        <f t="shared" si="22"/>
        <v>0</v>
      </c>
      <c r="H825" s="241"/>
    </row>
    <row r="826" spans="1:8" ht="33">
      <c r="A826" s="3">
        <f>IF(F826="","",COUNTA($F$625:F826))</f>
        <v>178</v>
      </c>
      <c r="B826" s="53" t="s">
        <v>1590</v>
      </c>
      <c r="C826" s="44" t="s">
        <v>2097</v>
      </c>
      <c r="E826" s="8">
        <v>2168000</v>
      </c>
      <c r="F826" s="8">
        <v>2168000</v>
      </c>
      <c r="G826" s="125">
        <f t="shared" si="22"/>
        <v>0</v>
      </c>
      <c r="H826" s="241"/>
    </row>
    <row r="827" spans="1:8" ht="33">
      <c r="A827" s="3">
        <f>IF(F827="","",COUNTA($F$625:F827))</f>
        <v>179</v>
      </c>
      <c r="B827" s="53" t="s">
        <v>1591</v>
      </c>
      <c r="C827" s="44" t="s">
        <v>2097</v>
      </c>
      <c r="E827" s="8">
        <v>2320000</v>
      </c>
      <c r="F827" s="8">
        <v>2320000</v>
      </c>
      <c r="G827" s="125">
        <f t="shared" si="22"/>
        <v>0</v>
      </c>
      <c r="H827" s="241"/>
    </row>
    <row r="828" spans="1:8" ht="33">
      <c r="A828" s="3">
        <f>IF(F828="","",COUNTA($F$625:F828))</f>
        <v>180</v>
      </c>
      <c r="B828" s="53" t="s">
        <v>1592</v>
      </c>
      <c r="C828" s="44" t="s">
        <v>2097</v>
      </c>
      <c r="E828" s="8">
        <v>2650000</v>
      </c>
      <c r="F828" s="8">
        <v>2650000</v>
      </c>
      <c r="G828" s="125">
        <f t="shared" si="22"/>
        <v>0</v>
      </c>
      <c r="H828" s="241"/>
    </row>
    <row r="829" spans="1:8" ht="33">
      <c r="A829" s="3">
        <f>IF(F829="","",COUNTA($F$625:F829))</f>
        <v>181</v>
      </c>
      <c r="B829" s="53" t="s">
        <v>1593</v>
      </c>
      <c r="C829" s="44" t="s">
        <v>2097</v>
      </c>
      <c r="E829" s="8">
        <v>2745000</v>
      </c>
      <c r="F829" s="8">
        <v>2745000</v>
      </c>
      <c r="G829" s="125">
        <f t="shared" si="22"/>
        <v>0</v>
      </c>
      <c r="H829" s="241"/>
    </row>
    <row r="830" spans="1:8" ht="33">
      <c r="A830" s="3">
        <f>IF(F830="","",COUNTA($F$625:F830))</f>
        <v>182</v>
      </c>
      <c r="B830" s="53" t="s">
        <v>1594</v>
      </c>
      <c r="C830" s="44" t="s">
        <v>2098</v>
      </c>
      <c r="E830" s="8">
        <v>310000</v>
      </c>
      <c r="F830" s="8">
        <v>310000</v>
      </c>
      <c r="G830" s="125">
        <f t="shared" si="22"/>
        <v>0</v>
      </c>
      <c r="H830" s="241"/>
    </row>
    <row r="831" spans="1:8" ht="33">
      <c r="A831" s="3">
        <f>IF(F831="","",COUNTA($F$625:F831))</f>
        <v>183</v>
      </c>
      <c r="B831" s="53" t="s">
        <v>1595</v>
      </c>
      <c r="C831" s="44" t="s">
        <v>2098</v>
      </c>
      <c r="E831" s="8">
        <v>400000</v>
      </c>
      <c r="F831" s="8">
        <v>400000</v>
      </c>
      <c r="G831" s="125">
        <f t="shared" si="22"/>
        <v>0</v>
      </c>
      <c r="H831" s="241"/>
    </row>
    <row r="832" spans="1:8" ht="17.25" customHeight="1">
      <c r="A832" s="3">
        <f>IF(F832="","",COUNTA($F$625:F832))</f>
      </c>
      <c r="B832" s="51" t="s">
        <v>798</v>
      </c>
      <c r="C832" s="52"/>
      <c r="G832" s="125"/>
      <c r="H832" s="240" t="s">
        <v>799</v>
      </c>
    </row>
    <row r="833" spans="1:8" ht="33">
      <c r="A833" s="3">
        <f>IF(F833="","",COUNTA($F$625:F833))</f>
        <v>184</v>
      </c>
      <c r="B833" s="53" t="s">
        <v>802</v>
      </c>
      <c r="C833" s="44" t="s">
        <v>2097</v>
      </c>
      <c r="E833" s="8">
        <v>2689091</v>
      </c>
      <c r="F833" s="8">
        <v>2689091</v>
      </c>
      <c r="G833" s="125">
        <f>(F833-F833)/E833</f>
        <v>0</v>
      </c>
      <c r="H833" s="241"/>
    </row>
    <row r="834" spans="1:8" ht="33">
      <c r="A834" s="3">
        <f>IF(F834="","",COUNTA($F$625:F834))</f>
        <v>185</v>
      </c>
      <c r="B834" s="53" t="s">
        <v>803</v>
      </c>
      <c r="C834" s="44" t="s">
        <v>2097</v>
      </c>
      <c r="E834" s="8">
        <v>1727273</v>
      </c>
      <c r="F834" s="8">
        <v>1727273</v>
      </c>
      <c r="G834" s="125">
        <f aca="true" t="shared" si="23" ref="G834:G841">(F834-F834)/E834</f>
        <v>0</v>
      </c>
      <c r="H834" s="241"/>
    </row>
    <row r="835" spans="1:8" ht="16.5">
      <c r="A835" s="3">
        <f>IF(F835="","",COUNTA($F$625:F835))</f>
        <v>186</v>
      </c>
      <c r="B835" s="53" t="s">
        <v>804</v>
      </c>
      <c r="C835" s="44" t="s">
        <v>2097</v>
      </c>
      <c r="E835" s="8">
        <v>1420909</v>
      </c>
      <c r="F835" s="8">
        <v>1420909</v>
      </c>
      <c r="G835" s="125">
        <f t="shared" si="23"/>
        <v>0</v>
      </c>
      <c r="H835" s="241"/>
    </row>
    <row r="836" spans="1:8" ht="16.5">
      <c r="A836" s="3">
        <f>IF(F836="","",COUNTA($F$625:F836))</f>
        <v>187</v>
      </c>
      <c r="B836" s="53" t="s">
        <v>805</v>
      </c>
      <c r="C836" s="44" t="s">
        <v>2097</v>
      </c>
      <c r="E836" s="8">
        <v>1731818</v>
      </c>
      <c r="F836" s="8">
        <v>1731818</v>
      </c>
      <c r="G836" s="125">
        <f t="shared" si="23"/>
        <v>0</v>
      </c>
      <c r="H836" s="241"/>
    </row>
    <row r="837" spans="1:8" ht="16.5">
      <c r="A837" s="3">
        <f>IF(F837="","",COUNTA($F$625:F837))</f>
        <v>188</v>
      </c>
      <c r="B837" s="53" t="s">
        <v>806</v>
      </c>
      <c r="C837" s="44" t="s">
        <v>2097</v>
      </c>
      <c r="E837" s="8">
        <v>2783636</v>
      </c>
      <c r="F837" s="8">
        <v>2783636</v>
      </c>
      <c r="G837" s="125">
        <f t="shared" si="23"/>
        <v>0</v>
      </c>
      <c r="H837" s="241"/>
    </row>
    <row r="838" spans="1:8" ht="16.5">
      <c r="A838" s="3">
        <f>IF(F838="","",COUNTA($F$625:F838))</f>
        <v>189</v>
      </c>
      <c r="B838" s="53" t="s">
        <v>807</v>
      </c>
      <c r="C838" s="44" t="s">
        <v>2097</v>
      </c>
      <c r="E838" s="8">
        <v>1638182</v>
      </c>
      <c r="F838" s="8">
        <v>1638182</v>
      </c>
      <c r="G838" s="125">
        <f t="shared" si="23"/>
        <v>0</v>
      </c>
      <c r="H838" s="241"/>
    </row>
    <row r="839" spans="1:8" ht="16.5">
      <c r="A839" s="3">
        <f>IF(F839="","",COUNTA($F$625:F839))</f>
        <v>190</v>
      </c>
      <c r="B839" s="53" t="s">
        <v>808</v>
      </c>
      <c r="C839" s="44" t="s">
        <v>2097</v>
      </c>
      <c r="E839" s="8">
        <v>2601818</v>
      </c>
      <c r="F839" s="8">
        <v>2601818</v>
      </c>
      <c r="G839" s="125">
        <f t="shared" si="23"/>
        <v>0</v>
      </c>
      <c r="H839" s="241"/>
    </row>
    <row r="840" spans="1:8" ht="16.5">
      <c r="A840" s="3">
        <f>IF(F840="","",COUNTA($F$625:F840))</f>
        <v>191</v>
      </c>
      <c r="B840" s="53" t="s">
        <v>800</v>
      </c>
      <c r="C840" s="44" t="s">
        <v>2098</v>
      </c>
      <c r="E840" s="8">
        <v>497273</v>
      </c>
      <c r="F840" s="8">
        <v>497273</v>
      </c>
      <c r="G840" s="125">
        <f t="shared" si="23"/>
        <v>0</v>
      </c>
      <c r="H840" s="241"/>
    </row>
    <row r="841" spans="1:8" ht="16.5">
      <c r="A841" s="3">
        <f>IF(F841="","",COUNTA($F$625:F841))</f>
        <v>192</v>
      </c>
      <c r="B841" s="53" t="s">
        <v>801</v>
      </c>
      <c r="C841" s="44" t="s">
        <v>2098</v>
      </c>
      <c r="E841" s="8">
        <v>368182</v>
      </c>
      <c r="F841" s="8">
        <v>368182</v>
      </c>
      <c r="G841" s="125">
        <f t="shared" si="23"/>
        <v>0</v>
      </c>
      <c r="H841" s="241"/>
    </row>
    <row r="842" spans="1:8" ht="17.25" customHeight="1">
      <c r="A842" s="3">
        <f>IF(F842="","",COUNTA($F$625:F842))</f>
      </c>
      <c r="B842" s="51" t="s">
        <v>809</v>
      </c>
      <c r="C842" s="52"/>
      <c r="G842" s="125"/>
      <c r="H842" s="247" t="s">
        <v>810</v>
      </c>
    </row>
    <row r="843" spans="1:8" ht="33">
      <c r="A843" s="3">
        <f>IF(F843="","",COUNTA($F$625:F843))</f>
        <v>193</v>
      </c>
      <c r="B843" s="53" t="s">
        <v>811</v>
      </c>
      <c r="C843" s="44" t="s">
        <v>2098</v>
      </c>
      <c r="E843" s="8">
        <f>365200/1.1</f>
        <v>332000</v>
      </c>
      <c r="F843" s="8">
        <f>365200/1.1</f>
        <v>332000</v>
      </c>
      <c r="G843" s="125">
        <f t="shared" si="22"/>
        <v>0</v>
      </c>
      <c r="H843" s="247"/>
    </row>
    <row r="844" spans="1:8" ht="33">
      <c r="A844" s="3">
        <f>IF(F844="","",COUNTA($F$625:F844))</f>
        <v>194</v>
      </c>
      <c r="B844" s="53" t="s">
        <v>812</v>
      </c>
      <c r="C844" s="44" t="s">
        <v>2098</v>
      </c>
      <c r="E844" s="8">
        <f>635800/1.1</f>
        <v>578000</v>
      </c>
      <c r="F844" s="8">
        <f>635800/1.1</f>
        <v>578000</v>
      </c>
      <c r="G844" s="125">
        <f t="shared" si="22"/>
        <v>0</v>
      </c>
      <c r="H844" s="247"/>
    </row>
    <row r="845" spans="1:8" ht="49.5">
      <c r="A845" s="3">
        <f>IF(F845="","",COUNTA($F$625:F845))</f>
        <v>195</v>
      </c>
      <c r="B845" s="53" t="s">
        <v>926</v>
      </c>
      <c r="C845" s="44" t="s">
        <v>2097</v>
      </c>
      <c r="E845" s="8">
        <f>3055800/1.1</f>
        <v>2778000</v>
      </c>
      <c r="F845" s="8">
        <f>3055800/1.1</f>
        <v>2778000</v>
      </c>
      <c r="G845" s="125">
        <f t="shared" si="22"/>
        <v>0</v>
      </c>
      <c r="H845" s="247"/>
    </row>
    <row r="846" spans="1:8" ht="49.5">
      <c r="A846" s="3">
        <f>IF(F846="","",COUNTA($F$625:F846))</f>
        <v>196</v>
      </c>
      <c r="B846" s="53" t="s">
        <v>927</v>
      </c>
      <c r="C846" s="44" t="s">
        <v>2097</v>
      </c>
      <c r="E846" s="8">
        <f>4270000/1.1</f>
        <v>3881818.1818181816</v>
      </c>
      <c r="F846" s="8">
        <f>4270000/1.1</f>
        <v>3881818.1818181816</v>
      </c>
      <c r="G846" s="125">
        <f t="shared" si="22"/>
        <v>0</v>
      </c>
      <c r="H846" s="247"/>
    </row>
    <row r="847" spans="1:8" ht="33">
      <c r="A847" s="3">
        <f>IF(F847="","",COUNTA($F$625:F847))</f>
        <v>197</v>
      </c>
      <c r="B847" s="53" t="s">
        <v>928</v>
      </c>
      <c r="C847" s="44" t="s">
        <v>2097</v>
      </c>
      <c r="E847" s="8">
        <f>1225400/1.1</f>
        <v>1114000</v>
      </c>
      <c r="F847" s="8">
        <f>1225400/1.1</f>
        <v>1114000</v>
      </c>
      <c r="G847" s="125">
        <f t="shared" si="22"/>
        <v>0</v>
      </c>
      <c r="H847" s="247"/>
    </row>
    <row r="848" spans="1:8" ht="33">
      <c r="A848" s="3">
        <f>IF(F848="","",COUNTA($F$625:F848))</f>
        <v>198</v>
      </c>
      <c r="B848" s="53" t="s">
        <v>929</v>
      </c>
      <c r="C848" s="44" t="s">
        <v>2097</v>
      </c>
      <c r="E848" s="8">
        <f>2318800/1.1</f>
        <v>2108000</v>
      </c>
      <c r="F848" s="8">
        <f>2318800/1.1</f>
        <v>2108000</v>
      </c>
      <c r="G848" s="125">
        <f t="shared" si="22"/>
        <v>0</v>
      </c>
      <c r="H848" s="247"/>
    </row>
    <row r="849" spans="1:8" ht="49.5">
      <c r="A849" s="3">
        <f>IF(F849="","",COUNTA($F$625:F849))</f>
        <v>199</v>
      </c>
      <c r="B849" s="53" t="s">
        <v>930</v>
      </c>
      <c r="C849" s="44" t="s">
        <v>2097</v>
      </c>
      <c r="E849" s="8">
        <f>1997600/1.1</f>
        <v>1815999.9999999998</v>
      </c>
      <c r="F849" s="8">
        <f>1997600/1.1</f>
        <v>1815999.9999999998</v>
      </c>
      <c r="G849" s="125">
        <f t="shared" si="22"/>
        <v>0</v>
      </c>
      <c r="H849" s="247"/>
    </row>
    <row r="850" spans="1:8" ht="33">
      <c r="A850" s="3">
        <f>IF(F850="","",COUNTA($F$625:F850))</f>
        <v>200</v>
      </c>
      <c r="B850" s="53" t="s">
        <v>931</v>
      </c>
      <c r="C850" s="44" t="s">
        <v>2097</v>
      </c>
      <c r="E850" s="8">
        <f>3412200/1.1</f>
        <v>3101999.9999999995</v>
      </c>
      <c r="F850" s="8">
        <f>3412200/1.1</f>
        <v>3101999.9999999995</v>
      </c>
      <c r="G850" s="125">
        <f t="shared" si="22"/>
        <v>0</v>
      </c>
      <c r="H850" s="247"/>
    </row>
    <row r="851" spans="1:8" ht="17.25">
      <c r="A851" s="3">
        <f>IF(F851="","",COUNTA($F$625:F851))</f>
      </c>
      <c r="B851" s="51" t="s">
        <v>813</v>
      </c>
      <c r="C851" s="44"/>
      <c r="E851" s="8"/>
      <c r="F851" s="8"/>
      <c r="G851" s="125"/>
      <c r="H851" s="247"/>
    </row>
    <row r="852" spans="1:8" ht="33">
      <c r="A852" s="3">
        <f>IF(F852="","",COUNTA($F$625:F852))</f>
        <v>201</v>
      </c>
      <c r="B852" s="53" t="s">
        <v>814</v>
      </c>
      <c r="C852" s="44" t="s">
        <v>2098</v>
      </c>
      <c r="E852" s="8">
        <f>369600/1.1</f>
        <v>336000</v>
      </c>
      <c r="F852" s="8">
        <f>369600/1.1</f>
        <v>336000</v>
      </c>
      <c r="G852" s="125">
        <f t="shared" si="22"/>
        <v>0</v>
      </c>
      <c r="H852" s="247"/>
    </row>
    <row r="853" spans="1:8" ht="33">
      <c r="A853" s="3">
        <f>IF(F853="","",COUNTA($F$625:F853))</f>
        <v>202</v>
      </c>
      <c r="B853" s="53" t="s">
        <v>815</v>
      </c>
      <c r="C853" s="44" t="s">
        <v>2098</v>
      </c>
      <c r="E853" s="8">
        <f>547800/1.1</f>
        <v>497999.99999999994</v>
      </c>
      <c r="F853" s="8">
        <f>547800/1.1</f>
        <v>497999.99999999994</v>
      </c>
      <c r="G853" s="125">
        <f t="shared" si="22"/>
        <v>0</v>
      </c>
      <c r="H853" s="247"/>
    </row>
    <row r="854" spans="1:8" ht="49.5">
      <c r="A854" s="3">
        <f>IF(F854="","",COUNTA($F$625:F854))</f>
        <v>203</v>
      </c>
      <c r="B854" s="53" t="s">
        <v>816</v>
      </c>
      <c r="C854" s="44" t="s">
        <v>2097</v>
      </c>
      <c r="E854" s="8">
        <f>2582800/1.1</f>
        <v>2348000</v>
      </c>
      <c r="F854" s="8">
        <f>2582800/1.1</f>
        <v>2348000</v>
      </c>
      <c r="G854" s="125">
        <f>(E854-F854)/E854</f>
        <v>0</v>
      </c>
      <c r="H854" s="247"/>
    </row>
    <row r="855" spans="1:8" ht="49.5">
      <c r="A855" s="3">
        <f>IF(F855="","",COUNTA($F$625:F855))</f>
        <v>204</v>
      </c>
      <c r="B855" s="53" t="s">
        <v>817</v>
      </c>
      <c r="C855" s="44" t="s">
        <v>2097</v>
      </c>
      <c r="E855" s="8">
        <f>3515600/1.1</f>
        <v>3195999.9999999995</v>
      </c>
      <c r="F855" s="8">
        <f>3515600/1.1</f>
        <v>3195999.9999999995</v>
      </c>
      <c r="G855" s="125">
        <f>(E855-F855)/E855</f>
        <v>0</v>
      </c>
      <c r="H855" s="247"/>
    </row>
    <row r="856" spans="1:8" ht="33">
      <c r="A856" s="3">
        <f>IF(F856="","",COUNTA($F$625:F856))</f>
        <v>205</v>
      </c>
      <c r="B856" s="53" t="s">
        <v>818</v>
      </c>
      <c r="C856" s="44" t="s">
        <v>2097</v>
      </c>
      <c r="E856" s="8">
        <f>1058200/1.1</f>
        <v>961999.9999999999</v>
      </c>
      <c r="F856" s="8">
        <f>1058200/1.1</f>
        <v>961999.9999999999</v>
      </c>
      <c r="G856" s="125">
        <f>(E856-F856)/E856</f>
        <v>0</v>
      </c>
      <c r="H856" s="247"/>
    </row>
    <row r="857" spans="1:8" ht="49.5">
      <c r="A857" s="3">
        <f>IF(F857="","",COUNTA($F$625:F857))</f>
        <v>206</v>
      </c>
      <c r="B857" s="53" t="s">
        <v>819</v>
      </c>
      <c r="C857" s="44" t="s">
        <v>2097</v>
      </c>
      <c r="E857" s="8">
        <f>1711600/1.1</f>
        <v>1555999.9999999998</v>
      </c>
      <c r="F857" s="8">
        <f>1711600/1.1</f>
        <v>1555999.9999999998</v>
      </c>
      <c r="G857" s="125">
        <f>(E857-F857)/E857</f>
        <v>0</v>
      </c>
      <c r="H857" s="247"/>
    </row>
    <row r="858" spans="1:8" ht="49.5">
      <c r="A858" s="3">
        <f>IF(F858="","",COUNTA($F$625:F858))</f>
        <v>207</v>
      </c>
      <c r="B858" s="53" t="s">
        <v>820</v>
      </c>
      <c r="C858" s="44" t="s">
        <v>2097</v>
      </c>
      <c r="E858" s="8">
        <f>2761200/1.1</f>
        <v>2510181.818181818</v>
      </c>
      <c r="F858" s="8">
        <f>2761200/1.1</f>
        <v>2510181.818181818</v>
      </c>
      <c r="G858" s="125">
        <f>(E858-F858)/E858</f>
        <v>0</v>
      </c>
      <c r="H858" s="247"/>
    </row>
    <row r="859" spans="1:8" ht="17.25">
      <c r="A859" s="3">
        <f>IF(F859="","",COUNTA($F$625:F859))</f>
      </c>
      <c r="B859" s="51" t="s">
        <v>821</v>
      </c>
      <c r="C859" s="44"/>
      <c r="E859" s="8"/>
      <c r="F859" s="8"/>
      <c r="G859" s="125"/>
      <c r="H859" s="247"/>
    </row>
    <row r="860" spans="1:8" ht="49.5">
      <c r="A860" s="3">
        <f>IF(F860="","",COUNTA($F$625:F860))</f>
        <v>208</v>
      </c>
      <c r="B860" s="53" t="s">
        <v>932</v>
      </c>
      <c r="C860" s="44" t="s">
        <v>2098</v>
      </c>
      <c r="E860" s="8">
        <f>532400/1.1</f>
        <v>483999.99999999994</v>
      </c>
      <c r="F860" s="8">
        <f>532400/1.1</f>
        <v>483999.99999999994</v>
      </c>
      <c r="G860" s="125">
        <f aca="true" t="shared" si="24" ref="G860:G866">(E860-F860)/E860</f>
        <v>0</v>
      </c>
      <c r="H860" s="247"/>
    </row>
    <row r="861" spans="1:8" ht="49.5">
      <c r="A861" s="3">
        <f>IF(F861="","",COUNTA($F$625:F861))</f>
        <v>209</v>
      </c>
      <c r="B861" s="53" t="s">
        <v>933</v>
      </c>
      <c r="C861" s="44" t="s">
        <v>2098</v>
      </c>
      <c r="E861" s="8">
        <f>611600/1.1</f>
        <v>556000</v>
      </c>
      <c r="F861" s="8">
        <f>611600/1.1</f>
        <v>556000</v>
      </c>
      <c r="G861" s="125">
        <f t="shared" si="24"/>
        <v>0</v>
      </c>
      <c r="H861" s="247"/>
    </row>
    <row r="862" spans="1:8" ht="49.5">
      <c r="A862" s="3">
        <f>IF(F862="","",COUNTA($F$625:F862))</f>
        <v>210</v>
      </c>
      <c r="B862" s="53" t="s">
        <v>934</v>
      </c>
      <c r="C862" s="44" t="s">
        <v>2097</v>
      </c>
      <c r="E862" s="8">
        <f>3181200/1.1</f>
        <v>2891999.9999999995</v>
      </c>
      <c r="F862" s="8">
        <f>3181200/1.1</f>
        <v>2891999.9999999995</v>
      </c>
      <c r="G862" s="125">
        <f t="shared" si="24"/>
        <v>0</v>
      </c>
      <c r="H862" s="247"/>
    </row>
    <row r="863" spans="1:8" ht="49.5">
      <c r="A863" s="3">
        <f>IF(F863="","",COUNTA($F$625:F863))</f>
        <v>211</v>
      </c>
      <c r="B863" s="53" t="s">
        <v>935</v>
      </c>
      <c r="C863" s="44" t="s">
        <v>2097</v>
      </c>
      <c r="E863" s="8">
        <f>4441800/1.1</f>
        <v>4037999.9999999995</v>
      </c>
      <c r="F863" s="8">
        <f>4441800/1.1</f>
        <v>4037999.9999999995</v>
      </c>
      <c r="G863" s="125">
        <f t="shared" si="24"/>
        <v>0</v>
      </c>
      <c r="H863" s="247"/>
    </row>
    <row r="864" spans="1:8" ht="49.5">
      <c r="A864" s="3">
        <f>IF(F864="","",COUNTA($F$625:F864))</f>
        <v>212</v>
      </c>
      <c r="B864" s="53" t="s">
        <v>936</v>
      </c>
      <c r="C864" s="44" t="s">
        <v>2097</v>
      </c>
      <c r="E864" s="8">
        <f>2241800/1.1</f>
        <v>2037999.9999999998</v>
      </c>
      <c r="F864" s="8">
        <f>2241800/1.1</f>
        <v>2037999.9999999998</v>
      </c>
      <c r="G864" s="125">
        <f t="shared" si="24"/>
        <v>0</v>
      </c>
      <c r="H864" s="247"/>
    </row>
    <row r="865" spans="1:8" ht="66">
      <c r="A865" s="3">
        <f>IF(F865="","",COUNTA($F$625:F865))</f>
        <v>213</v>
      </c>
      <c r="B865" s="53" t="s">
        <v>937</v>
      </c>
      <c r="C865" s="44" t="s">
        <v>2097</v>
      </c>
      <c r="E865" s="8">
        <f>3152600/1.1</f>
        <v>2866000</v>
      </c>
      <c r="F865" s="8">
        <f>3152600/1.1</f>
        <v>2866000</v>
      </c>
      <c r="G865" s="125">
        <f t="shared" si="24"/>
        <v>0</v>
      </c>
      <c r="H865" s="247"/>
    </row>
    <row r="866" spans="1:8" ht="48.75" customHeight="1">
      <c r="A866" s="3">
        <f>IF(F866="","",COUNTA($F$625:F866))</f>
        <v>214</v>
      </c>
      <c r="B866" s="53" t="s">
        <v>938</v>
      </c>
      <c r="C866" s="44" t="s">
        <v>2097</v>
      </c>
      <c r="E866" s="8">
        <f>3429100/1.1</f>
        <v>3117363.6363636362</v>
      </c>
      <c r="F866" s="8">
        <f>3429100/1.1</f>
        <v>3117363.6363636362</v>
      </c>
      <c r="G866" s="125">
        <f t="shared" si="24"/>
        <v>0</v>
      </c>
      <c r="H866" s="247"/>
    </row>
    <row r="867" spans="1:8" ht="17.25" customHeight="1">
      <c r="A867" s="3">
        <f>IF(F867="","",COUNTA($F$625:F867))</f>
      </c>
      <c r="B867" s="51" t="s">
        <v>2309</v>
      </c>
      <c r="C867" s="52"/>
      <c r="G867" s="125"/>
      <c r="H867" s="240" t="s">
        <v>2310</v>
      </c>
    </row>
    <row r="868" spans="1:8" ht="33">
      <c r="A868" s="3">
        <f>IF(F868="","",COUNTA($F$625:F868))</f>
        <v>215</v>
      </c>
      <c r="B868" s="53" t="s">
        <v>2311</v>
      </c>
      <c r="C868" s="44" t="s">
        <v>2097</v>
      </c>
      <c r="E868" s="8">
        <v>2362000</v>
      </c>
      <c r="F868" s="8">
        <v>2362000</v>
      </c>
      <c r="G868" s="125">
        <f aca="true" t="shared" si="25" ref="G868:G878">(E868-F868)/E868</f>
        <v>0</v>
      </c>
      <c r="H868" s="241"/>
    </row>
    <row r="869" spans="1:8" ht="16.5">
      <c r="A869" s="3">
        <f>IF(F869="","",COUNTA($F$625:F869))</f>
        <v>216</v>
      </c>
      <c r="B869" s="53" t="s">
        <v>2312</v>
      </c>
      <c r="C869" s="44" t="s">
        <v>2097</v>
      </c>
      <c r="E869" s="8">
        <v>1357000</v>
      </c>
      <c r="F869" s="8">
        <v>1357000</v>
      </c>
      <c r="G869" s="125">
        <f t="shared" si="25"/>
        <v>0</v>
      </c>
      <c r="H869" s="241"/>
    </row>
    <row r="870" spans="1:8" ht="33">
      <c r="A870" s="3">
        <f>IF(F870="","",COUNTA($F$625:F870))</f>
        <v>217</v>
      </c>
      <c r="B870" s="53" t="s">
        <v>2313</v>
      </c>
      <c r="C870" s="44" t="s">
        <v>2097</v>
      </c>
      <c r="E870" s="8">
        <v>2170000</v>
      </c>
      <c r="F870" s="8">
        <v>2170000</v>
      </c>
      <c r="G870" s="125">
        <f t="shared" si="25"/>
        <v>0</v>
      </c>
      <c r="H870" s="241"/>
    </row>
    <row r="871" spans="1:8" ht="16.5">
      <c r="A871" s="3">
        <f>IF(F871="","",COUNTA($F$625:F871))</f>
        <v>218</v>
      </c>
      <c r="B871" s="53" t="s">
        <v>2317</v>
      </c>
      <c r="C871" s="44" t="s">
        <v>2097</v>
      </c>
      <c r="E871" s="8">
        <v>1250000</v>
      </c>
      <c r="F871" s="8">
        <v>1250000</v>
      </c>
      <c r="G871" s="125">
        <f t="shared" si="25"/>
        <v>0</v>
      </c>
      <c r="H871" s="241"/>
    </row>
    <row r="872" spans="1:8" ht="16.5">
      <c r="A872" s="3">
        <f>IF(F872="","",COUNTA($F$625:F872))</f>
        <v>219</v>
      </c>
      <c r="B872" s="53" t="s">
        <v>2314</v>
      </c>
      <c r="C872" s="44" t="s">
        <v>2097</v>
      </c>
      <c r="E872" s="8">
        <v>1848000</v>
      </c>
      <c r="F872" s="8">
        <v>1848000</v>
      </c>
      <c r="G872" s="125">
        <f t="shared" si="25"/>
        <v>0</v>
      </c>
      <c r="H872" s="241"/>
    </row>
    <row r="873" spans="1:8" ht="33">
      <c r="A873" s="3">
        <f>IF(F873="","",COUNTA($F$625:F873))</f>
        <v>220</v>
      </c>
      <c r="B873" s="53" t="s">
        <v>2315</v>
      </c>
      <c r="C873" s="44" t="s">
        <v>2097</v>
      </c>
      <c r="E873" s="8">
        <v>3186000</v>
      </c>
      <c r="F873" s="8">
        <v>3186000</v>
      </c>
      <c r="G873" s="125">
        <f t="shared" si="25"/>
        <v>0</v>
      </c>
      <c r="H873" s="241"/>
    </row>
    <row r="874" spans="1:8" ht="16.5">
      <c r="A874" s="3">
        <f>IF(F874="","",COUNTA($F$625:F874))</f>
        <v>221</v>
      </c>
      <c r="B874" s="53" t="s">
        <v>2316</v>
      </c>
      <c r="C874" s="44" t="s">
        <v>2097</v>
      </c>
      <c r="E874" s="8">
        <v>2398000</v>
      </c>
      <c r="F874" s="8">
        <v>2398000</v>
      </c>
      <c r="G874" s="125">
        <f t="shared" si="25"/>
        <v>0</v>
      </c>
      <c r="H874" s="241"/>
    </row>
    <row r="875" spans="1:8" ht="16.5">
      <c r="A875" s="3">
        <f>IF(F875="","",COUNTA($F$625:F875))</f>
        <v>222</v>
      </c>
      <c r="B875" s="53" t="s">
        <v>2318</v>
      </c>
      <c r="C875" s="44" t="s">
        <v>2097</v>
      </c>
      <c r="E875" s="8">
        <v>2150000</v>
      </c>
      <c r="F875" s="8">
        <v>2150000</v>
      </c>
      <c r="G875" s="125">
        <f t="shared" si="25"/>
        <v>0</v>
      </c>
      <c r="H875" s="241"/>
    </row>
    <row r="876" spans="1:8" ht="16.5">
      <c r="A876" s="3">
        <f>IF(F876="","",COUNTA($F$625:F876))</f>
        <v>223</v>
      </c>
      <c r="B876" s="53" t="s">
        <v>2319</v>
      </c>
      <c r="C876" s="44" t="s">
        <v>2097</v>
      </c>
      <c r="E876" s="8">
        <v>2783000</v>
      </c>
      <c r="F876" s="8">
        <v>2783000</v>
      </c>
      <c r="G876" s="125">
        <f t="shared" si="25"/>
        <v>0</v>
      </c>
      <c r="H876" s="241"/>
    </row>
    <row r="877" spans="1:8" ht="16.5">
      <c r="A877" s="3">
        <f>IF(F877="","",COUNTA($F$625:F877))</f>
        <v>224</v>
      </c>
      <c r="B877" s="53" t="s">
        <v>2135</v>
      </c>
      <c r="C877" s="44" t="s">
        <v>2098</v>
      </c>
      <c r="E877" s="8">
        <v>451000</v>
      </c>
      <c r="F877" s="8">
        <v>451000</v>
      </c>
      <c r="G877" s="125">
        <f t="shared" si="25"/>
        <v>0</v>
      </c>
      <c r="H877" s="241"/>
    </row>
    <row r="878" spans="1:8" ht="16.5">
      <c r="A878" s="3">
        <f>IF(F878="","",COUNTA($F$625:F878))</f>
        <v>225</v>
      </c>
      <c r="B878" s="53" t="s">
        <v>2320</v>
      </c>
      <c r="C878" s="44" t="s">
        <v>2098</v>
      </c>
      <c r="E878" s="8">
        <v>506000</v>
      </c>
      <c r="F878" s="8">
        <v>506000</v>
      </c>
      <c r="G878" s="125">
        <f t="shared" si="25"/>
        <v>0</v>
      </c>
      <c r="H878" s="241"/>
    </row>
    <row r="879" spans="1:8" ht="17.25" customHeight="1">
      <c r="A879" s="3">
        <f>IF(F879="","",COUNTA($F$625:F879))</f>
      </c>
      <c r="B879" s="51" t="s">
        <v>299</v>
      </c>
      <c r="C879" s="52"/>
      <c r="G879" s="125"/>
      <c r="H879" s="240" t="s">
        <v>300</v>
      </c>
    </row>
    <row r="880" spans="1:8" ht="49.5">
      <c r="A880" s="3">
        <f>IF(F880="","",COUNTA($F$625:F880))</f>
        <v>226</v>
      </c>
      <c r="B880" s="53" t="s">
        <v>293</v>
      </c>
      <c r="C880" s="44" t="s">
        <v>2098</v>
      </c>
      <c r="D880" s="62" t="s">
        <v>1171</v>
      </c>
      <c r="E880" s="8">
        <v>700000</v>
      </c>
      <c r="F880" s="8">
        <v>700000</v>
      </c>
      <c r="G880" s="125">
        <f aca="true" t="shared" si="26" ref="G880:G885">(E880-F880)/E880</f>
        <v>0</v>
      </c>
      <c r="H880" s="241"/>
    </row>
    <row r="881" spans="1:8" ht="49.5">
      <c r="A881" s="3">
        <f>IF(F881="","",COUNTA($F$625:F881))</f>
        <v>227</v>
      </c>
      <c r="B881" s="53" t="s">
        <v>294</v>
      </c>
      <c r="C881" s="44" t="s">
        <v>2097</v>
      </c>
      <c r="D881" s="62" t="s">
        <v>301</v>
      </c>
      <c r="E881" s="8">
        <v>3700000</v>
      </c>
      <c r="F881" s="8">
        <v>3700000</v>
      </c>
      <c r="G881" s="125">
        <f t="shared" si="26"/>
        <v>0</v>
      </c>
      <c r="H881" s="241"/>
    </row>
    <row r="882" spans="1:8" ht="49.5">
      <c r="A882" s="3">
        <f>IF(F882="","",COUNTA($F$625:F882))</f>
        <v>228</v>
      </c>
      <c r="B882" s="53" t="s">
        <v>295</v>
      </c>
      <c r="C882" s="44" t="s">
        <v>2097</v>
      </c>
      <c r="D882" s="62" t="s">
        <v>301</v>
      </c>
      <c r="E882" s="8">
        <v>3900000</v>
      </c>
      <c r="F882" s="8">
        <v>3900000</v>
      </c>
      <c r="G882" s="125">
        <f t="shared" si="26"/>
        <v>0</v>
      </c>
      <c r="H882" s="241"/>
    </row>
    <row r="883" spans="1:8" ht="49.5">
      <c r="A883" s="3">
        <f>IF(F883="","",COUNTA($F$625:F883))</f>
        <v>229</v>
      </c>
      <c r="B883" s="53" t="s">
        <v>296</v>
      </c>
      <c r="C883" s="44" t="s">
        <v>2097</v>
      </c>
      <c r="D883" s="62" t="s">
        <v>301</v>
      </c>
      <c r="E883" s="8">
        <v>1946500</v>
      </c>
      <c r="F883" s="8">
        <v>1946500</v>
      </c>
      <c r="G883" s="125">
        <f t="shared" si="26"/>
        <v>0</v>
      </c>
      <c r="H883" s="241"/>
    </row>
    <row r="884" spans="1:8" ht="49.5">
      <c r="A884" s="3">
        <f>IF(F884="","",COUNTA($F$625:F884))</f>
        <v>230</v>
      </c>
      <c r="B884" s="53" t="s">
        <v>297</v>
      </c>
      <c r="C884" s="44" t="s">
        <v>2097</v>
      </c>
      <c r="D884" s="62" t="s">
        <v>301</v>
      </c>
      <c r="E884" s="8">
        <v>3915000</v>
      </c>
      <c r="F884" s="8">
        <v>3915000</v>
      </c>
      <c r="G884" s="125">
        <f t="shared" si="26"/>
        <v>0</v>
      </c>
      <c r="H884" s="241"/>
    </row>
    <row r="885" spans="1:8" ht="49.5">
      <c r="A885" s="3">
        <f>IF(F885="","",COUNTA($F$625:F885))</f>
        <v>231</v>
      </c>
      <c r="B885" s="53" t="s">
        <v>298</v>
      </c>
      <c r="C885" s="44" t="s">
        <v>2097</v>
      </c>
      <c r="D885" s="62" t="s">
        <v>301</v>
      </c>
      <c r="E885" s="8">
        <v>3735000</v>
      </c>
      <c r="F885" s="8">
        <v>3735000</v>
      </c>
      <c r="G885" s="125">
        <f t="shared" si="26"/>
        <v>0</v>
      </c>
      <c r="H885" s="241"/>
    </row>
    <row r="886" spans="1:8" ht="17.25" customHeight="1">
      <c r="A886" s="3">
        <f>IF(F886="","",COUNTA($F$625:F886))</f>
      </c>
      <c r="B886" s="51" t="s">
        <v>329</v>
      </c>
      <c r="C886" s="52"/>
      <c r="G886" s="125"/>
      <c r="H886" s="240" t="s">
        <v>330</v>
      </c>
    </row>
    <row r="887" spans="1:8" ht="33">
      <c r="A887" s="3">
        <f>IF(F887="","",COUNTA($F$625:F887))</f>
        <v>232</v>
      </c>
      <c r="B887" s="53" t="s">
        <v>334</v>
      </c>
      <c r="C887" s="44" t="s">
        <v>2097</v>
      </c>
      <c r="D887" s="62" t="s">
        <v>1161</v>
      </c>
      <c r="E887" s="8">
        <v>654545</v>
      </c>
      <c r="F887" s="8">
        <v>654545</v>
      </c>
      <c r="G887" s="125">
        <f aca="true" t="shared" si="27" ref="G887:G893">(E887-F887)/E887</f>
        <v>0</v>
      </c>
      <c r="H887" s="241"/>
    </row>
    <row r="888" spans="1:8" ht="33">
      <c r="A888" s="3">
        <f>IF(F888="","",COUNTA($F$625:F888))</f>
        <v>233</v>
      </c>
      <c r="B888" s="53" t="s">
        <v>332</v>
      </c>
      <c r="C888" s="44" t="s">
        <v>2097</v>
      </c>
      <c r="D888" s="62" t="s">
        <v>1161</v>
      </c>
      <c r="E888" s="8">
        <v>1480909</v>
      </c>
      <c r="F888" s="8">
        <v>1480909</v>
      </c>
      <c r="G888" s="125">
        <f t="shared" si="27"/>
        <v>0</v>
      </c>
      <c r="H888" s="241"/>
    </row>
    <row r="889" spans="1:8" ht="33">
      <c r="A889" s="3">
        <f>IF(F889="","",COUNTA($F$625:F889))</f>
        <v>234</v>
      </c>
      <c r="B889" s="53" t="s">
        <v>331</v>
      </c>
      <c r="C889" s="44" t="s">
        <v>2097</v>
      </c>
      <c r="D889" s="62" t="s">
        <v>1161</v>
      </c>
      <c r="E889" s="8">
        <v>1704545</v>
      </c>
      <c r="F889" s="8">
        <v>1704545</v>
      </c>
      <c r="G889" s="125">
        <f t="shared" si="27"/>
        <v>0</v>
      </c>
      <c r="H889" s="241"/>
    </row>
    <row r="890" spans="1:8" ht="33">
      <c r="A890" s="3">
        <f>IF(F890="","",COUNTA($F$625:F890))</f>
        <v>235</v>
      </c>
      <c r="B890" s="53" t="s">
        <v>333</v>
      </c>
      <c r="C890" s="44" t="s">
        <v>2097</v>
      </c>
      <c r="D890" s="62" t="s">
        <v>1161</v>
      </c>
      <c r="E890" s="8">
        <v>1622727</v>
      </c>
      <c r="F890" s="8">
        <v>1622727</v>
      </c>
      <c r="G890" s="125">
        <f t="shared" si="27"/>
        <v>0</v>
      </c>
      <c r="H890" s="241"/>
    </row>
    <row r="891" spans="1:8" ht="33">
      <c r="A891" s="3">
        <f>IF(F891="","",COUNTA($F$625:F891))</f>
        <v>236</v>
      </c>
      <c r="B891" s="53" t="s">
        <v>335</v>
      </c>
      <c r="C891" s="44" t="s">
        <v>2097</v>
      </c>
      <c r="D891" s="62" t="s">
        <v>1161</v>
      </c>
      <c r="E891" s="8">
        <v>2831818</v>
      </c>
      <c r="F891" s="8">
        <v>2831818</v>
      </c>
      <c r="G891" s="125">
        <f t="shared" si="27"/>
        <v>0</v>
      </c>
      <c r="H891" s="241"/>
    </row>
    <row r="892" spans="1:8" ht="33">
      <c r="A892" s="3">
        <f>IF(F892="","",COUNTA($F$625:F892))</f>
        <v>237</v>
      </c>
      <c r="B892" s="53" t="s">
        <v>336</v>
      </c>
      <c r="C892" s="44" t="s">
        <v>2097</v>
      </c>
      <c r="D892" s="62" t="s">
        <v>1161</v>
      </c>
      <c r="E892" s="8">
        <v>2286364</v>
      </c>
      <c r="F892" s="8">
        <v>2286364</v>
      </c>
      <c r="G892" s="125">
        <f t="shared" si="27"/>
        <v>0</v>
      </c>
      <c r="H892" s="241"/>
    </row>
    <row r="893" spans="1:8" ht="16.5">
      <c r="A893" s="3">
        <f>IF(E893="","",COUNTA($E$625:E893))</f>
        <v>238</v>
      </c>
      <c r="B893" s="53" t="s">
        <v>337</v>
      </c>
      <c r="C893" s="44" t="s">
        <v>2098</v>
      </c>
      <c r="D893" s="62" t="s">
        <v>1171</v>
      </c>
      <c r="E893" s="8">
        <v>367273</v>
      </c>
      <c r="F893" s="8">
        <v>367273</v>
      </c>
      <c r="G893" s="125">
        <f t="shared" si="27"/>
        <v>0</v>
      </c>
      <c r="H893" s="241"/>
    </row>
    <row r="894" spans="1:8" ht="17.25" customHeight="1">
      <c r="A894" s="3">
        <f>IF(E894="","",COUNTA($E$625:E894))</f>
      </c>
      <c r="B894" s="51" t="s">
        <v>371</v>
      </c>
      <c r="C894" s="52"/>
      <c r="G894" s="125"/>
      <c r="H894" s="240" t="s">
        <v>372</v>
      </c>
    </row>
    <row r="895" spans="1:8" ht="16.5">
      <c r="A895" s="3">
        <f>IF(E895="","",COUNTA($E$625:E895))</f>
        <v>239</v>
      </c>
      <c r="B895" s="53" t="s">
        <v>373</v>
      </c>
      <c r="C895" s="44" t="s">
        <v>2098</v>
      </c>
      <c r="D895" s="62" t="s">
        <v>1171</v>
      </c>
      <c r="E895" s="8">
        <v>500000</v>
      </c>
      <c r="F895" s="174">
        <v>500000</v>
      </c>
      <c r="G895" s="125">
        <f aca="true" t="shared" si="28" ref="G895:G902">(E895-F895)/E895</f>
        <v>0</v>
      </c>
      <c r="H895" s="241"/>
    </row>
    <row r="896" spans="1:8" ht="16.5">
      <c r="A896" s="3">
        <f>IF(E896="","",COUNTA($E$625:E896))</f>
        <v>240</v>
      </c>
      <c r="B896" s="53" t="s">
        <v>374</v>
      </c>
      <c r="C896" s="44" t="s">
        <v>2098</v>
      </c>
      <c r="D896" s="62" t="s">
        <v>1171</v>
      </c>
      <c r="E896" s="8">
        <v>650000</v>
      </c>
      <c r="F896" s="174">
        <v>650000</v>
      </c>
      <c r="G896" s="125">
        <f t="shared" si="28"/>
        <v>0</v>
      </c>
      <c r="H896" s="241"/>
    </row>
    <row r="897" spans="1:8" ht="16.5">
      <c r="A897" s="3">
        <f>IF(E897="","",COUNTA($E$625:E897))</f>
        <v>241</v>
      </c>
      <c r="B897" s="53" t="s">
        <v>375</v>
      </c>
      <c r="C897" s="44" t="s">
        <v>2097</v>
      </c>
      <c r="D897" s="62" t="s">
        <v>376</v>
      </c>
      <c r="E897" s="8">
        <v>1390000</v>
      </c>
      <c r="F897" s="174">
        <v>1390000</v>
      </c>
      <c r="G897" s="125">
        <f t="shared" si="28"/>
        <v>0</v>
      </c>
      <c r="H897" s="241"/>
    </row>
    <row r="898" spans="1:8" ht="33">
      <c r="A898" s="3">
        <f>IF(E898="","",COUNTA($E$625:E898))</f>
        <v>242</v>
      </c>
      <c r="B898" s="53" t="s">
        <v>377</v>
      </c>
      <c r="C898" s="44" t="s">
        <v>2097</v>
      </c>
      <c r="D898" s="62" t="s">
        <v>376</v>
      </c>
      <c r="E898" s="8">
        <v>3145000</v>
      </c>
      <c r="F898" s="174">
        <v>3145000</v>
      </c>
      <c r="G898" s="125">
        <f t="shared" si="28"/>
        <v>0</v>
      </c>
      <c r="H898" s="241"/>
    </row>
    <row r="899" spans="1:8" ht="16.5">
      <c r="A899" s="3">
        <f>IF(E899="","",COUNTA($E$625:E899))</f>
        <v>243</v>
      </c>
      <c r="B899" s="53" t="s">
        <v>378</v>
      </c>
      <c r="C899" s="44" t="s">
        <v>2097</v>
      </c>
      <c r="D899" s="62" t="s">
        <v>376</v>
      </c>
      <c r="E899" s="8">
        <v>3160000</v>
      </c>
      <c r="F899" s="174">
        <v>3160000</v>
      </c>
      <c r="G899" s="125">
        <f t="shared" si="28"/>
        <v>0</v>
      </c>
      <c r="H899" s="241"/>
    </row>
    <row r="900" spans="1:8" ht="16.5">
      <c r="A900" s="3">
        <f>IF(E900="","",COUNTA($E$625:E900))</f>
        <v>244</v>
      </c>
      <c r="B900" s="53" t="s">
        <v>379</v>
      </c>
      <c r="C900" s="44" t="s">
        <v>2097</v>
      </c>
      <c r="D900" s="62" t="s">
        <v>376</v>
      </c>
      <c r="E900" s="8">
        <v>2359000</v>
      </c>
      <c r="F900" s="174">
        <v>2359000</v>
      </c>
      <c r="G900" s="125">
        <f t="shared" si="28"/>
        <v>0</v>
      </c>
      <c r="H900" s="241"/>
    </row>
    <row r="901" spans="1:8" ht="33">
      <c r="A901" s="3">
        <f>IF(E901="","",COUNTA($E$625:E901))</f>
        <v>245</v>
      </c>
      <c r="B901" s="53" t="s">
        <v>380</v>
      </c>
      <c r="C901" s="44" t="s">
        <v>2097</v>
      </c>
      <c r="D901" s="62" t="s">
        <v>376</v>
      </c>
      <c r="E901" s="8">
        <v>2845000</v>
      </c>
      <c r="F901" s="174">
        <v>2845000</v>
      </c>
      <c r="G901" s="125">
        <f t="shared" si="28"/>
        <v>0</v>
      </c>
      <c r="H901" s="241"/>
    </row>
    <row r="902" spans="1:8" ht="16.5">
      <c r="A902" s="3">
        <f>IF(E902="","",COUNTA($E$625:E902))</f>
        <v>246</v>
      </c>
      <c r="B902" s="53" t="s">
        <v>381</v>
      </c>
      <c r="C902" s="44" t="s">
        <v>2097</v>
      </c>
      <c r="D902" s="62" t="s">
        <v>376</v>
      </c>
      <c r="E902" s="8">
        <v>3791000</v>
      </c>
      <c r="F902" s="174">
        <v>3791000</v>
      </c>
      <c r="G902" s="125">
        <f t="shared" si="28"/>
        <v>0</v>
      </c>
      <c r="H902" s="241"/>
    </row>
    <row r="903" spans="1:8" ht="17.25">
      <c r="A903" s="3">
        <f>IF(E903="","",COUNTA($E$625:E903))</f>
      </c>
      <c r="B903" s="51" t="s">
        <v>3142</v>
      </c>
      <c r="C903" s="44"/>
      <c r="E903" s="8"/>
      <c r="F903" s="174"/>
      <c r="G903" s="125"/>
      <c r="H903" s="241" t="s">
        <v>3143</v>
      </c>
    </row>
    <row r="904" spans="1:8" ht="33">
      <c r="A904" s="3">
        <f>IF(E904="","",COUNTA($E$625:E904))</f>
        <v>247</v>
      </c>
      <c r="B904" s="53" t="s">
        <v>3129</v>
      </c>
      <c r="C904" s="44" t="s">
        <v>2097</v>
      </c>
      <c r="D904" s="62" t="s">
        <v>3130</v>
      </c>
      <c r="E904" s="8">
        <v>760000</v>
      </c>
      <c r="F904" s="174">
        <v>760000</v>
      </c>
      <c r="G904" s="125">
        <f>(E904-F904)/E904</f>
        <v>0</v>
      </c>
      <c r="H904" s="241"/>
    </row>
    <row r="905" spans="1:8" ht="33">
      <c r="A905" s="3">
        <f>IF(E905="","",COUNTA($E$625:E905))</f>
        <v>248</v>
      </c>
      <c r="B905" s="53" t="s">
        <v>3131</v>
      </c>
      <c r="C905" s="44" t="s">
        <v>2097</v>
      </c>
      <c r="D905" s="62" t="s">
        <v>3130</v>
      </c>
      <c r="E905" s="8">
        <v>995000</v>
      </c>
      <c r="F905" s="174">
        <v>995000</v>
      </c>
      <c r="G905" s="125">
        <f aca="true" t="shared" si="29" ref="G905:G932">(E905-F905)/E905</f>
        <v>0</v>
      </c>
      <c r="H905" s="241"/>
    </row>
    <row r="906" spans="1:8" ht="33">
      <c r="A906" s="3">
        <f>IF(E906="","",COUNTA($E$625:E906))</f>
        <v>249</v>
      </c>
      <c r="B906" s="53" t="s">
        <v>3133</v>
      </c>
      <c r="C906" s="44" t="s">
        <v>2097</v>
      </c>
      <c r="D906" s="62" t="s">
        <v>3130</v>
      </c>
      <c r="E906" s="8">
        <v>1585000</v>
      </c>
      <c r="F906" s="174">
        <v>1585000</v>
      </c>
      <c r="G906" s="125">
        <f t="shared" si="29"/>
        <v>0</v>
      </c>
      <c r="H906" s="241"/>
    </row>
    <row r="907" spans="1:8" ht="33">
      <c r="A907" s="3">
        <f>IF(E907="","",COUNTA($E$625:E907))</f>
        <v>250</v>
      </c>
      <c r="B907" s="53" t="s">
        <v>3134</v>
      </c>
      <c r="C907" s="44" t="s">
        <v>2097</v>
      </c>
      <c r="D907" s="62" t="s">
        <v>3132</v>
      </c>
      <c r="E907" s="8">
        <v>2120000</v>
      </c>
      <c r="F907" s="174">
        <v>2120000</v>
      </c>
      <c r="G907" s="125">
        <f t="shared" si="29"/>
        <v>0</v>
      </c>
      <c r="H907" s="241"/>
    </row>
    <row r="908" spans="1:8" ht="33">
      <c r="A908" s="3">
        <f>IF(E908="","",COUNTA($E$625:E908))</f>
        <v>251</v>
      </c>
      <c r="B908" s="53" t="s">
        <v>3135</v>
      </c>
      <c r="C908" s="44" t="s">
        <v>2097</v>
      </c>
      <c r="D908" s="62" t="s">
        <v>3136</v>
      </c>
      <c r="E908" s="8">
        <v>1755000</v>
      </c>
      <c r="F908" s="174">
        <v>1755000</v>
      </c>
      <c r="G908" s="125">
        <f t="shared" si="29"/>
        <v>0</v>
      </c>
      <c r="H908" s="241"/>
    </row>
    <row r="909" spans="1:8" ht="33">
      <c r="A909" s="3">
        <f>IF(E909="","",COUNTA($E$625:E909))</f>
        <v>252</v>
      </c>
      <c r="B909" s="53" t="s">
        <v>3137</v>
      </c>
      <c r="C909" s="44" t="s">
        <v>2097</v>
      </c>
      <c r="D909" s="62" t="s">
        <v>3138</v>
      </c>
      <c r="E909" s="8">
        <v>2425000</v>
      </c>
      <c r="F909" s="174">
        <v>2425000</v>
      </c>
      <c r="G909" s="125">
        <f t="shared" si="29"/>
        <v>0</v>
      </c>
      <c r="H909" s="241"/>
    </row>
    <row r="910" spans="1:8" ht="33">
      <c r="A910" s="3">
        <f>IF(E910="","",COUNTA($E$625:E910))</f>
        <v>253</v>
      </c>
      <c r="B910" s="53" t="s">
        <v>3139</v>
      </c>
      <c r="C910" s="44" t="s">
        <v>2097</v>
      </c>
      <c r="D910" s="62" t="s">
        <v>3144</v>
      </c>
      <c r="E910" s="8">
        <v>2625000</v>
      </c>
      <c r="F910" s="174">
        <v>2625000</v>
      </c>
      <c r="G910" s="125">
        <f t="shared" si="29"/>
        <v>0</v>
      </c>
      <c r="H910" s="241"/>
    </row>
    <row r="911" spans="1:8" ht="33">
      <c r="A911" s="3">
        <f>IF(E911="","",COUNTA($E$625:E911))</f>
        <v>254</v>
      </c>
      <c r="B911" s="53" t="s">
        <v>3140</v>
      </c>
      <c r="C911" s="44" t="s">
        <v>2098</v>
      </c>
      <c r="D911" s="62" t="s">
        <v>1171</v>
      </c>
      <c r="E911" s="8">
        <v>345000</v>
      </c>
      <c r="F911" s="174">
        <v>345000</v>
      </c>
      <c r="G911" s="125">
        <f t="shared" si="29"/>
        <v>0</v>
      </c>
      <c r="H911" s="241"/>
    </row>
    <row r="912" spans="1:8" ht="33">
      <c r="A912" s="3">
        <f>IF(E912="","",COUNTA($E$625:E912))</f>
        <v>255</v>
      </c>
      <c r="B912" s="53" t="s">
        <v>3141</v>
      </c>
      <c r="C912" s="44" t="s">
        <v>2098</v>
      </c>
      <c r="D912" s="62" t="s">
        <v>1171</v>
      </c>
      <c r="E912" s="8">
        <v>440000</v>
      </c>
      <c r="F912" s="174">
        <v>440000</v>
      </c>
      <c r="G912" s="125">
        <f t="shared" si="29"/>
        <v>0</v>
      </c>
      <c r="H912" s="241"/>
    </row>
    <row r="913" spans="1:8" ht="17.25">
      <c r="A913" s="3">
        <f>IF(E913="","",COUNTA($E$625:E913))</f>
      </c>
      <c r="B913" s="51" t="s">
        <v>3145</v>
      </c>
      <c r="C913" s="44"/>
      <c r="E913" s="8"/>
      <c r="F913" s="174"/>
      <c r="G913" s="125"/>
      <c r="H913" s="241"/>
    </row>
    <row r="914" spans="1:8" ht="33">
      <c r="A914" s="3">
        <f>IF(E914="","",COUNTA($E$625:E914))</f>
        <v>256</v>
      </c>
      <c r="B914" s="53" t="s">
        <v>3146</v>
      </c>
      <c r="C914" s="44" t="s">
        <v>2097</v>
      </c>
      <c r="D914" s="62" t="s">
        <v>3130</v>
      </c>
      <c r="E914" s="8">
        <v>790000</v>
      </c>
      <c r="F914" s="174">
        <v>790000</v>
      </c>
      <c r="G914" s="125">
        <f t="shared" si="29"/>
        <v>0</v>
      </c>
      <c r="H914" s="241"/>
    </row>
    <row r="915" spans="1:8" ht="33">
      <c r="A915" s="3">
        <f>IF(E915="","",COUNTA($E$625:E915))</f>
        <v>257</v>
      </c>
      <c r="B915" s="53" t="s">
        <v>3147</v>
      </c>
      <c r="C915" s="44" t="s">
        <v>2097</v>
      </c>
      <c r="D915" s="62" t="s">
        <v>3155</v>
      </c>
      <c r="E915" s="8">
        <v>1045000</v>
      </c>
      <c r="F915" s="174">
        <v>1045000</v>
      </c>
      <c r="G915" s="125">
        <f t="shared" si="29"/>
        <v>0</v>
      </c>
      <c r="H915" s="241"/>
    </row>
    <row r="916" spans="1:8" ht="33">
      <c r="A916" s="3">
        <f>IF(E916="","",COUNTA($E$625:E916))</f>
        <v>258</v>
      </c>
      <c r="B916" s="53" t="s">
        <v>3148</v>
      </c>
      <c r="C916" s="44" t="s">
        <v>2097</v>
      </c>
      <c r="D916" s="62" t="s">
        <v>3156</v>
      </c>
      <c r="E916" s="8">
        <v>1585000</v>
      </c>
      <c r="F916" s="174">
        <v>1585000</v>
      </c>
      <c r="G916" s="125">
        <f t="shared" si="29"/>
        <v>0</v>
      </c>
      <c r="H916" s="241"/>
    </row>
    <row r="917" spans="1:8" ht="33">
      <c r="A917" s="3">
        <f>IF(E917="","",COUNTA($E$625:E917))</f>
        <v>259</v>
      </c>
      <c r="B917" s="53" t="s">
        <v>3149</v>
      </c>
      <c r="C917" s="44" t="s">
        <v>2097</v>
      </c>
      <c r="D917" s="62" t="s">
        <v>1170</v>
      </c>
      <c r="E917" s="8">
        <v>2140000</v>
      </c>
      <c r="F917" s="174">
        <v>2140000</v>
      </c>
      <c r="G917" s="125">
        <f t="shared" si="29"/>
        <v>0</v>
      </c>
      <c r="H917" s="241"/>
    </row>
    <row r="918" spans="1:8" ht="33">
      <c r="A918" s="3">
        <f>IF(E918="","",COUNTA($E$625:E918))</f>
        <v>260</v>
      </c>
      <c r="B918" s="53" t="s">
        <v>3150</v>
      </c>
      <c r="C918" s="44" t="s">
        <v>2097</v>
      </c>
      <c r="D918" s="62" t="s">
        <v>3136</v>
      </c>
      <c r="E918" s="8">
        <v>1795000</v>
      </c>
      <c r="F918" s="174">
        <v>1795000</v>
      </c>
      <c r="G918" s="125">
        <f t="shared" si="29"/>
        <v>0</v>
      </c>
      <c r="H918" s="241"/>
    </row>
    <row r="919" spans="1:8" ht="33">
      <c r="A919" s="3">
        <f>IF(E919="","",COUNTA($E$625:E919))</f>
        <v>261</v>
      </c>
      <c r="B919" s="53" t="s">
        <v>3151</v>
      </c>
      <c r="C919" s="44" t="s">
        <v>2097</v>
      </c>
      <c r="D919" s="62" t="s">
        <v>3157</v>
      </c>
      <c r="E919" s="8">
        <v>2435000</v>
      </c>
      <c r="F919" s="174">
        <v>2435000</v>
      </c>
      <c r="G919" s="125">
        <f t="shared" si="29"/>
        <v>0</v>
      </c>
      <c r="H919" s="241"/>
    </row>
    <row r="920" spans="1:8" ht="36" customHeight="1">
      <c r="A920" s="3">
        <f>IF(E920="","",COUNTA($E$625:E920))</f>
        <v>262</v>
      </c>
      <c r="B920" s="53" t="s">
        <v>3152</v>
      </c>
      <c r="C920" s="44" t="s">
        <v>2097</v>
      </c>
      <c r="D920" s="62" t="s">
        <v>3144</v>
      </c>
      <c r="E920" s="8">
        <v>2700000</v>
      </c>
      <c r="F920" s="174">
        <v>2700000</v>
      </c>
      <c r="G920" s="125">
        <f t="shared" si="29"/>
        <v>0</v>
      </c>
      <c r="H920" s="241"/>
    </row>
    <row r="921" spans="1:8" ht="16.5">
      <c r="A921" s="3">
        <f>IF(E921="","",COUNTA($E$625:E921))</f>
        <v>263</v>
      </c>
      <c r="B921" s="53" t="s">
        <v>3153</v>
      </c>
      <c r="C921" s="44" t="s">
        <v>2098</v>
      </c>
      <c r="D921" s="62" t="s">
        <v>1171</v>
      </c>
      <c r="E921" s="8">
        <v>350000</v>
      </c>
      <c r="F921" s="174">
        <v>350000</v>
      </c>
      <c r="G921" s="125">
        <f t="shared" si="29"/>
        <v>0</v>
      </c>
      <c r="H921" s="241"/>
    </row>
    <row r="922" spans="1:8" ht="33">
      <c r="A922" s="3">
        <f>IF(E922="","",COUNTA($E$625:E922))</f>
        <v>264</v>
      </c>
      <c r="B922" s="53" t="s">
        <v>3154</v>
      </c>
      <c r="C922" s="44" t="s">
        <v>2098</v>
      </c>
      <c r="D922" s="62" t="s">
        <v>1171</v>
      </c>
      <c r="E922" s="8">
        <v>440000</v>
      </c>
      <c r="F922" s="174">
        <v>440000</v>
      </c>
      <c r="G922" s="125">
        <f t="shared" si="29"/>
        <v>0</v>
      </c>
      <c r="H922" s="241"/>
    </row>
    <row r="923" spans="1:8" ht="17.25">
      <c r="A923" s="3">
        <f>IF(E923="","",COUNTA($E$625:E923))</f>
      </c>
      <c r="B923" s="51" t="s">
        <v>3158</v>
      </c>
      <c r="C923" s="44"/>
      <c r="E923" s="8"/>
      <c r="F923" s="174"/>
      <c r="G923" s="125"/>
      <c r="H923" s="241"/>
    </row>
    <row r="924" spans="1:8" ht="33">
      <c r="A924" s="3">
        <f>IF(E924="","",COUNTA($E$625:E924))</f>
        <v>265</v>
      </c>
      <c r="B924" s="53" t="s">
        <v>3159</v>
      </c>
      <c r="C924" s="44" t="s">
        <v>2097</v>
      </c>
      <c r="D924" s="62" t="s">
        <v>3136</v>
      </c>
      <c r="E924" s="8">
        <v>860000</v>
      </c>
      <c r="F924" s="174">
        <v>860000</v>
      </c>
      <c r="G924" s="125">
        <f t="shared" si="29"/>
        <v>0</v>
      </c>
      <c r="H924" s="241"/>
    </row>
    <row r="925" spans="1:8" ht="33">
      <c r="A925" s="3">
        <f>IF(E925="","",COUNTA($E$625:E925))</f>
        <v>266</v>
      </c>
      <c r="B925" s="53" t="s">
        <v>3160</v>
      </c>
      <c r="C925" s="44" t="s">
        <v>2097</v>
      </c>
      <c r="D925" s="62" t="s">
        <v>3138</v>
      </c>
      <c r="E925" s="8">
        <v>2325000</v>
      </c>
      <c r="F925" s="174">
        <v>2325000</v>
      </c>
      <c r="G925" s="125">
        <f t="shared" si="29"/>
        <v>0</v>
      </c>
      <c r="H925" s="241"/>
    </row>
    <row r="926" spans="1:8" ht="16.5">
      <c r="A926" s="3">
        <f>IF(E926="","",COUNTA($E$625:E926))</f>
        <v>267</v>
      </c>
      <c r="B926" s="53" t="s">
        <v>3161</v>
      </c>
      <c r="C926" s="44" t="s">
        <v>2097</v>
      </c>
      <c r="D926" s="62" t="s">
        <v>376</v>
      </c>
      <c r="E926" s="8">
        <v>1797000</v>
      </c>
      <c r="F926" s="174">
        <v>1797000</v>
      </c>
      <c r="G926" s="125">
        <f t="shared" si="29"/>
        <v>0</v>
      </c>
      <c r="H926" s="241"/>
    </row>
    <row r="927" spans="1:8" ht="33">
      <c r="A927" s="3">
        <f>IF(E927="","",COUNTA($E$625:E927))</f>
        <v>268</v>
      </c>
      <c r="B927" s="53" t="s">
        <v>3162</v>
      </c>
      <c r="C927" s="44" t="s">
        <v>2097</v>
      </c>
      <c r="D927" s="62" t="s">
        <v>3136</v>
      </c>
      <c r="E927" s="8">
        <v>2636800</v>
      </c>
      <c r="F927" s="174">
        <v>2636800</v>
      </c>
      <c r="G927" s="125">
        <f t="shared" si="29"/>
        <v>0</v>
      </c>
      <c r="H927" s="241"/>
    </row>
    <row r="928" spans="1:8" ht="33">
      <c r="A928" s="3">
        <f>IF(E928="","",COUNTA($E$625:E928))</f>
        <v>269</v>
      </c>
      <c r="B928" s="53" t="s">
        <v>3163</v>
      </c>
      <c r="C928" s="44" t="s">
        <v>2097</v>
      </c>
      <c r="D928" s="62" t="s">
        <v>3136</v>
      </c>
      <c r="E928" s="8">
        <v>2010000</v>
      </c>
      <c r="F928" s="174">
        <v>2010000</v>
      </c>
      <c r="G928" s="125">
        <f t="shared" si="29"/>
        <v>0</v>
      </c>
      <c r="H928" s="241"/>
    </row>
    <row r="929" spans="1:8" ht="33">
      <c r="A929" s="3">
        <f>IF(E929="","",COUNTA($E$625:E929))</f>
        <v>270</v>
      </c>
      <c r="B929" s="53" t="s">
        <v>3164</v>
      </c>
      <c r="C929" s="44" t="s">
        <v>2097</v>
      </c>
      <c r="D929" s="62" t="s">
        <v>3136</v>
      </c>
      <c r="E929" s="8">
        <v>2745000</v>
      </c>
      <c r="F929" s="174">
        <v>2745000</v>
      </c>
      <c r="G929" s="125">
        <f t="shared" si="29"/>
        <v>0</v>
      </c>
      <c r="H929" s="241"/>
    </row>
    <row r="930" spans="1:8" ht="33">
      <c r="A930" s="3">
        <f>IF(E930="","",COUNTA($E$625:E930))</f>
        <v>271</v>
      </c>
      <c r="B930" s="53" t="s">
        <v>3165</v>
      </c>
      <c r="C930" s="44" t="s">
        <v>2097</v>
      </c>
      <c r="D930" s="62" t="s">
        <v>3168</v>
      </c>
      <c r="E930" s="8">
        <v>2975000</v>
      </c>
      <c r="F930" s="174">
        <v>2975000</v>
      </c>
      <c r="G930" s="125">
        <f t="shared" si="29"/>
        <v>0</v>
      </c>
      <c r="H930" s="241"/>
    </row>
    <row r="931" spans="1:8" ht="16.5">
      <c r="A931" s="3">
        <f>IF(E931="","",COUNTA($E$625:E931))</f>
        <v>272</v>
      </c>
      <c r="B931" s="53" t="s">
        <v>3166</v>
      </c>
      <c r="C931" s="44" t="s">
        <v>2098</v>
      </c>
      <c r="D931" s="62" t="s">
        <v>1171</v>
      </c>
      <c r="E931" s="8">
        <v>400000</v>
      </c>
      <c r="F931" s="174">
        <v>400000</v>
      </c>
      <c r="G931" s="125">
        <f t="shared" si="29"/>
        <v>0</v>
      </c>
      <c r="H931" s="241"/>
    </row>
    <row r="932" spans="1:8" ht="33">
      <c r="A932" s="3">
        <f>IF(E932="","",COUNTA($E$625:E932))</f>
        <v>273</v>
      </c>
      <c r="B932" s="53" t="s">
        <v>3167</v>
      </c>
      <c r="C932" s="44" t="s">
        <v>2098</v>
      </c>
      <c r="D932" s="62" t="s">
        <v>1171</v>
      </c>
      <c r="E932" s="8">
        <v>500000</v>
      </c>
      <c r="F932" s="174">
        <v>500000</v>
      </c>
      <c r="G932" s="125">
        <f t="shared" si="29"/>
        <v>0</v>
      </c>
      <c r="H932" s="241"/>
    </row>
    <row r="933" spans="1:8" s="104" customFormat="1" ht="17.25" customHeight="1">
      <c r="A933" s="3">
        <f>IF(F933="","",COUNTA($F$625:F933))</f>
      </c>
      <c r="B933" s="209" t="s">
        <v>3261</v>
      </c>
      <c r="C933" s="9"/>
      <c r="D933" s="103"/>
      <c r="E933" s="210"/>
      <c r="F933" s="210"/>
      <c r="G933" s="211"/>
      <c r="H933" s="231" t="s">
        <v>3224</v>
      </c>
    </row>
    <row r="934" spans="1:8" s="104" customFormat="1" ht="33">
      <c r="A934" s="3">
        <f>IF(E934="","",COUNTA($E$625:E934))</f>
        <v>274</v>
      </c>
      <c r="B934" s="212" t="s">
        <v>3234</v>
      </c>
      <c r="C934" s="7" t="s">
        <v>2097</v>
      </c>
      <c r="D934" s="103" t="s">
        <v>376</v>
      </c>
      <c r="E934" s="8">
        <v>866000</v>
      </c>
      <c r="F934" s="174">
        <v>866000</v>
      </c>
      <c r="G934" s="211">
        <f>(E934-F934)/F934</f>
        <v>0</v>
      </c>
      <c r="H934" s="232"/>
    </row>
    <row r="935" spans="1:8" s="104" customFormat="1" ht="33">
      <c r="A935" s="3">
        <f>IF(E935="","",COUNTA($E$625:E935))</f>
        <v>275</v>
      </c>
      <c r="B935" s="212" t="s">
        <v>3233</v>
      </c>
      <c r="C935" s="7" t="s">
        <v>2097</v>
      </c>
      <c r="D935" s="103" t="s">
        <v>376</v>
      </c>
      <c r="E935" s="8">
        <v>1338000</v>
      </c>
      <c r="F935" s="174">
        <v>1338000</v>
      </c>
      <c r="G935" s="211">
        <f aca="true" t="shared" si="30" ref="G935:G940">(E935-F935)/F935</f>
        <v>0</v>
      </c>
      <c r="H935" s="232"/>
    </row>
    <row r="936" spans="1:8" s="104" customFormat="1" ht="33">
      <c r="A936" s="3">
        <f>IF(E936="","",COUNTA($E$625:E936))</f>
        <v>276</v>
      </c>
      <c r="B936" s="212" t="s">
        <v>3235</v>
      </c>
      <c r="C936" s="7" t="s">
        <v>2097</v>
      </c>
      <c r="D936" s="103" t="s">
        <v>3223</v>
      </c>
      <c r="E936" s="8">
        <v>1548000</v>
      </c>
      <c r="F936" s="174">
        <v>1548000</v>
      </c>
      <c r="G936" s="211">
        <f t="shared" si="30"/>
        <v>0</v>
      </c>
      <c r="H936" s="232"/>
    </row>
    <row r="937" spans="1:8" s="104" customFormat="1" ht="33">
      <c r="A937" s="3">
        <f>IF(E937="","",COUNTA($E$625:E937))</f>
        <v>277</v>
      </c>
      <c r="B937" s="212" t="s">
        <v>3236</v>
      </c>
      <c r="C937" s="7" t="s">
        <v>2097</v>
      </c>
      <c r="D937" s="103" t="s">
        <v>376</v>
      </c>
      <c r="E937" s="8">
        <v>2168000</v>
      </c>
      <c r="F937" s="174">
        <v>2168000</v>
      </c>
      <c r="G937" s="211">
        <f t="shared" si="30"/>
        <v>0</v>
      </c>
      <c r="H937" s="232"/>
    </row>
    <row r="938" spans="1:8" s="104" customFormat="1" ht="33">
      <c r="A938" s="3">
        <f>IF(E938="","",COUNTA($E$625:E938))</f>
        <v>278</v>
      </c>
      <c r="B938" s="212" t="s">
        <v>3238</v>
      </c>
      <c r="C938" s="7" t="s">
        <v>2097</v>
      </c>
      <c r="D938" s="103" t="s">
        <v>3136</v>
      </c>
      <c r="E938" s="8">
        <v>2127000</v>
      </c>
      <c r="F938" s="174">
        <v>2127000</v>
      </c>
      <c r="G938" s="211">
        <f t="shared" si="30"/>
        <v>0</v>
      </c>
      <c r="H938" s="232"/>
    </row>
    <row r="939" spans="1:8" s="104" customFormat="1" ht="33">
      <c r="A939" s="3">
        <f>IF(E939="","",COUNTA($E$625:E939))</f>
        <v>279</v>
      </c>
      <c r="B939" s="212" t="s">
        <v>3237</v>
      </c>
      <c r="C939" s="7" t="s">
        <v>2097</v>
      </c>
      <c r="D939" s="103" t="s">
        <v>3136</v>
      </c>
      <c r="E939" s="8">
        <v>2745000</v>
      </c>
      <c r="F939" s="174">
        <v>2745000</v>
      </c>
      <c r="G939" s="211">
        <f t="shared" si="30"/>
        <v>0</v>
      </c>
      <c r="H939" s="232"/>
    </row>
    <row r="940" spans="1:8" s="104" customFormat="1" ht="33">
      <c r="A940" s="3">
        <f>IF(E940="","",COUNTA($E$625:E940))</f>
        <v>280</v>
      </c>
      <c r="B940" s="212" t="s">
        <v>3239</v>
      </c>
      <c r="C940" s="7" t="s">
        <v>2097</v>
      </c>
      <c r="D940" s="103" t="s">
        <v>3132</v>
      </c>
      <c r="E940" s="8">
        <v>3072000</v>
      </c>
      <c r="F940" s="174">
        <v>3072000</v>
      </c>
      <c r="G940" s="211">
        <f t="shared" si="30"/>
        <v>0</v>
      </c>
      <c r="H940" s="232"/>
    </row>
    <row r="941" spans="1:8" s="104" customFormat="1" ht="17.25" customHeight="1">
      <c r="A941" s="3">
        <f>IF(F941="","",COUNTA($F$625:F941))</f>
      </c>
      <c r="B941" s="209" t="s">
        <v>3281</v>
      </c>
      <c r="C941" s="9"/>
      <c r="D941" s="103"/>
      <c r="E941" s="210"/>
      <c r="F941" s="210"/>
      <c r="G941" s="211"/>
      <c r="H941" s="231" t="s">
        <v>3286</v>
      </c>
    </row>
    <row r="942" spans="1:8" s="104" customFormat="1" ht="16.5">
      <c r="A942" s="3">
        <f>IF(E942="","",COUNTA($E$625:E942))</f>
        <v>281</v>
      </c>
      <c r="B942" s="212" t="s">
        <v>3282</v>
      </c>
      <c r="C942" s="7" t="s">
        <v>2097</v>
      </c>
      <c r="D942" s="103" t="s">
        <v>1161</v>
      </c>
      <c r="E942" s="8">
        <f>2729000/1.1</f>
        <v>2480909.090909091</v>
      </c>
      <c r="F942" s="174">
        <f>2729000/1.1</f>
        <v>2480909.090909091</v>
      </c>
      <c r="G942" s="211">
        <f>+(E942-F942)/F942</f>
        <v>0</v>
      </c>
      <c r="H942" s="232"/>
    </row>
    <row r="943" spans="1:8" s="104" customFormat="1" ht="33">
      <c r="A943" s="3">
        <f>IF(E943="","",COUNTA($E$625:E943))</f>
        <v>282</v>
      </c>
      <c r="B943" s="212" t="s">
        <v>3283</v>
      </c>
      <c r="C943" s="7" t="s">
        <v>2097</v>
      </c>
      <c r="D943" s="103" t="s">
        <v>1161</v>
      </c>
      <c r="E943" s="8">
        <f>3596000/1.1</f>
        <v>3269090.9090909087</v>
      </c>
      <c r="F943" s="174">
        <f>3596000/1.1</f>
        <v>3269090.9090909087</v>
      </c>
      <c r="G943" s="211">
        <f aca="true" t="shared" si="31" ref="G943:G949">(E943-F943)/F943</f>
        <v>0</v>
      </c>
      <c r="H943" s="232"/>
    </row>
    <row r="944" spans="1:8" s="104" customFormat="1" ht="16.5">
      <c r="A944" s="3">
        <f>IF(E944="","",COUNTA($E$625:E944))</f>
        <v>283</v>
      </c>
      <c r="B944" s="212" t="s">
        <v>3284</v>
      </c>
      <c r="C944" s="7" t="s">
        <v>2097</v>
      </c>
      <c r="D944" s="103" t="s">
        <v>1161</v>
      </c>
      <c r="E944" s="8">
        <f>2298000/1.1</f>
        <v>2089090.909090909</v>
      </c>
      <c r="F944" s="174">
        <f>2298000/1.1</f>
        <v>2089090.909090909</v>
      </c>
      <c r="G944" s="211">
        <f t="shared" si="31"/>
        <v>0</v>
      </c>
      <c r="H944" s="232"/>
    </row>
    <row r="945" spans="1:8" s="104" customFormat="1" ht="16.5">
      <c r="A945" s="3">
        <f>IF(E945="","",COUNTA($E$625:E945))</f>
        <v>284</v>
      </c>
      <c r="B945" s="212" t="s">
        <v>3285</v>
      </c>
      <c r="C945" s="7" t="s">
        <v>2097</v>
      </c>
      <c r="D945" s="103" t="s">
        <v>1161</v>
      </c>
      <c r="E945" s="8">
        <f>2002000/1.1</f>
        <v>1819999.9999999998</v>
      </c>
      <c r="F945" s="174">
        <f>2002000/1.1</f>
        <v>1819999.9999999998</v>
      </c>
      <c r="G945" s="211">
        <f t="shared" si="31"/>
        <v>0</v>
      </c>
      <c r="H945" s="232"/>
    </row>
    <row r="946" spans="1:8" s="104" customFormat="1" ht="16.5">
      <c r="A946" s="3">
        <f>IF(E946="","",COUNTA($E$625:E946))</f>
        <v>285</v>
      </c>
      <c r="B946" s="212" t="s">
        <v>3287</v>
      </c>
      <c r="C946" s="7" t="s">
        <v>2097</v>
      </c>
      <c r="D946" s="103" t="s">
        <v>1161</v>
      </c>
      <c r="E946" s="8">
        <f>989000/1.1</f>
        <v>899090.9090909091</v>
      </c>
      <c r="F946" s="174">
        <f>989000/1.1</f>
        <v>899090.9090909091</v>
      </c>
      <c r="G946" s="211">
        <f t="shared" si="31"/>
        <v>0</v>
      </c>
      <c r="H946" s="232"/>
    </row>
    <row r="947" spans="1:8" s="104" customFormat="1" ht="16.5">
      <c r="A947" s="3">
        <f>IF(E947="","",COUNTA($E$625:E947))</f>
        <v>286</v>
      </c>
      <c r="B947" s="212" t="s">
        <v>3288</v>
      </c>
      <c r="C947" s="7" t="s">
        <v>2097</v>
      </c>
      <c r="D947" s="103" t="s">
        <v>1161</v>
      </c>
      <c r="E947" s="8">
        <f>2750000/1.1</f>
        <v>2500000</v>
      </c>
      <c r="F947" s="174">
        <f>2750000/1.1</f>
        <v>2500000</v>
      </c>
      <c r="G947" s="211">
        <f>(E947-F947)/F947</f>
        <v>0</v>
      </c>
      <c r="H947" s="232"/>
    </row>
    <row r="948" spans="1:8" s="104" customFormat="1" ht="16.5">
      <c r="A948" s="3">
        <f>IF(E948="","",COUNTA($E$625:E948))</f>
        <v>287</v>
      </c>
      <c r="B948" s="212" t="s">
        <v>3289</v>
      </c>
      <c r="C948" s="7" t="s">
        <v>2097</v>
      </c>
      <c r="D948" s="103" t="s">
        <v>1161</v>
      </c>
      <c r="E948" s="8">
        <f>3895000/1.1</f>
        <v>3540909.090909091</v>
      </c>
      <c r="F948" s="174">
        <f>3895000/1.1</f>
        <v>3540909.090909091</v>
      </c>
      <c r="G948" s="211">
        <f>(E948-F948)/F948</f>
        <v>0</v>
      </c>
      <c r="H948" s="232"/>
    </row>
    <row r="949" spans="1:8" s="104" customFormat="1" ht="16.5">
      <c r="A949" s="3">
        <f>IF(E949="","",COUNTA($E$625:E949))</f>
        <v>288</v>
      </c>
      <c r="B949" s="212" t="s">
        <v>3290</v>
      </c>
      <c r="C949" s="7" t="s">
        <v>2098</v>
      </c>
      <c r="D949" s="103" t="s">
        <v>1171</v>
      </c>
      <c r="E949" s="8">
        <f>493000/1.1</f>
        <v>448181.8181818181</v>
      </c>
      <c r="F949" s="174">
        <f>493000/1.1</f>
        <v>448181.8181818181</v>
      </c>
      <c r="G949" s="211">
        <f t="shared" si="31"/>
        <v>0</v>
      </c>
      <c r="H949" s="232"/>
    </row>
    <row r="950" spans="1:8" s="104" customFormat="1" ht="17.25" customHeight="1">
      <c r="A950" s="3">
        <f>IF(F950="","",COUNTA($F$625:F950))</f>
      </c>
      <c r="B950" s="209" t="s">
        <v>3291</v>
      </c>
      <c r="C950" s="9"/>
      <c r="D950" s="103"/>
      <c r="E950" s="210"/>
      <c r="F950" s="210"/>
      <c r="G950" s="211"/>
      <c r="H950" s="231" t="s">
        <v>3292</v>
      </c>
    </row>
    <row r="951" spans="1:8" s="104" customFormat="1" ht="49.5">
      <c r="A951" s="3">
        <f>IF(E951="","",COUNTA($E$625:E951))</f>
        <v>289</v>
      </c>
      <c r="B951" s="212" t="s">
        <v>3310</v>
      </c>
      <c r="C951" s="7" t="s">
        <v>2097</v>
      </c>
      <c r="D951" s="103" t="s">
        <v>1166</v>
      </c>
      <c r="E951" s="8">
        <v>2280000</v>
      </c>
      <c r="F951" s="174">
        <v>2280000</v>
      </c>
      <c r="G951" s="211">
        <f>+(E951-F951)/F951</f>
        <v>0</v>
      </c>
      <c r="H951" s="232"/>
    </row>
    <row r="952" spans="1:8" s="104" customFormat="1" ht="33">
      <c r="A952" s="3">
        <f>IF(E952="","",COUNTA($E$625:E952))</f>
        <v>290</v>
      </c>
      <c r="B952" s="212" t="s">
        <v>3311</v>
      </c>
      <c r="C952" s="7" t="s">
        <v>2097</v>
      </c>
      <c r="D952" s="103" t="s">
        <v>1166</v>
      </c>
      <c r="E952" s="8">
        <v>870000</v>
      </c>
      <c r="F952" s="174">
        <v>870000</v>
      </c>
      <c r="G952" s="211">
        <f>(E952-F952)/F952</f>
        <v>0</v>
      </c>
      <c r="H952" s="232"/>
    </row>
    <row r="953" spans="1:8" s="104" customFormat="1" ht="33">
      <c r="A953" s="3">
        <f>IF(E953="","",COUNTA($E$625:E953))</f>
        <v>291</v>
      </c>
      <c r="B953" s="212" t="s">
        <v>3312</v>
      </c>
      <c r="C953" s="7" t="s">
        <v>2097</v>
      </c>
      <c r="D953" s="103" t="s">
        <v>1166</v>
      </c>
      <c r="E953" s="8">
        <v>1790000</v>
      </c>
      <c r="F953" s="174">
        <v>1790000</v>
      </c>
      <c r="G953" s="211">
        <f>(E953-F953)/F953</f>
        <v>0</v>
      </c>
      <c r="H953" s="232"/>
    </row>
    <row r="954" spans="1:8" s="104" customFormat="1" ht="33">
      <c r="A954" s="3">
        <f>IF(E954="","",COUNTA($E$625:E954))</f>
        <v>292</v>
      </c>
      <c r="B954" s="212" t="s">
        <v>3313</v>
      </c>
      <c r="C954" s="7" t="s">
        <v>2097</v>
      </c>
      <c r="D954" s="103" t="s">
        <v>1166</v>
      </c>
      <c r="E954" s="8">
        <v>1978000</v>
      </c>
      <c r="F954" s="174">
        <v>1978000</v>
      </c>
      <c r="G954" s="211">
        <f>(E954-F954)/F954</f>
        <v>0</v>
      </c>
      <c r="H954" s="232"/>
    </row>
    <row r="955" spans="1:8" s="104" customFormat="1" ht="33">
      <c r="A955" s="3">
        <f>IF(E955="","",COUNTA($E$625:E955))</f>
        <v>293</v>
      </c>
      <c r="B955" s="212" t="s">
        <v>3314</v>
      </c>
      <c r="C955" s="7" t="s">
        <v>2097</v>
      </c>
      <c r="D955" s="103" t="s">
        <v>1170</v>
      </c>
      <c r="E955" s="8">
        <v>3450000</v>
      </c>
      <c r="F955" s="174">
        <v>3450000</v>
      </c>
      <c r="G955" s="211">
        <f>(E955-F955)/F955</f>
        <v>0</v>
      </c>
      <c r="H955" s="232"/>
    </row>
    <row r="956" spans="1:8" s="104" customFormat="1" ht="33">
      <c r="A956" s="3">
        <f>IF(E956="","",COUNTA($E$625:E956))</f>
        <v>294</v>
      </c>
      <c r="B956" s="212" t="s">
        <v>3315</v>
      </c>
      <c r="C956" s="7" t="s">
        <v>2098</v>
      </c>
      <c r="D956" s="103" t="s">
        <v>1171</v>
      </c>
      <c r="E956" s="8">
        <v>395000</v>
      </c>
      <c r="F956" s="174">
        <v>395000</v>
      </c>
      <c r="G956" s="211">
        <f>(E956-F956)/F956</f>
        <v>0</v>
      </c>
      <c r="H956" s="232"/>
    </row>
    <row r="957" spans="1:8" ht="17.25">
      <c r="A957" s="15" t="s">
        <v>1693</v>
      </c>
      <c r="B957" s="33" t="s">
        <v>9</v>
      </c>
      <c r="C957" s="44"/>
      <c r="E957" s="8"/>
      <c r="F957" s="8"/>
      <c r="G957" s="125"/>
      <c r="H957" s="78"/>
    </row>
    <row r="958" spans="1:8" ht="17.25">
      <c r="A958" s="15" t="s">
        <v>3188</v>
      </c>
      <c r="B958" s="33" t="s">
        <v>10</v>
      </c>
      <c r="C958" s="44"/>
      <c r="E958" s="8"/>
      <c r="F958" s="8"/>
      <c r="G958" s="125"/>
      <c r="H958" s="75"/>
    </row>
    <row r="959" spans="1:8" ht="16.5">
      <c r="A959" s="3">
        <f>IF(F959="","",COUNTA($F$959:F959))</f>
        <v>1</v>
      </c>
      <c r="B959" s="28" t="s">
        <v>13</v>
      </c>
      <c r="C959" s="44" t="s">
        <v>2702</v>
      </c>
      <c r="D959" s="243" t="s">
        <v>3119</v>
      </c>
      <c r="E959" s="8">
        <v>1227000</v>
      </c>
      <c r="F959" s="8">
        <v>1227000</v>
      </c>
      <c r="G959" s="125">
        <f aca="true" t="shared" si="32" ref="G959:G979">(E959-F959)/E959</f>
        <v>0</v>
      </c>
      <c r="H959" s="247" t="s">
        <v>35</v>
      </c>
    </row>
    <row r="960" spans="1:8" ht="16.5">
      <c r="A960" s="3">
        <f>IF(F960="","",COUNTA($F$959:F960))</f>
        <v>2</v>
      </c>
      <c r="B960" s="28" t="s">
        <v>14</v>
      </c>
      <c r="C960" s="44" t="s">
        <v>2702</v>
      </c>
      <c r="D960" s="243"/>
      <c r="E960" s="8">
        <v>1692000</v>
      </c>
      <c r="F960" s="8">
        <v>1692000</v>
      </c>
      <c r="G960" s="125">
        <f t="shared" si="32"/>
        <v>0</v>
      </c>
      <c r="H960" s="247"/>
    </row>
    <row r="961" spans="1:8" ht="16.5">
      <c r="A961" s="3">
        <f>IF(F961="","",COUNTA($F$959:F961))</f>
        <v>3</v>
      </c>
      <c r="B961" s="28" t="s">
        <v>15</v>
      </c>
      <c r="C961" s="44" t="s">
        <v>2702</v>
      </c>
      <c r="D961" s="243"/>
      <c r="E961" s="8">
        <v>1604000</v>
      </c>
      <c r="F961" s="8">
        <v>1604000</v>
      </c>
      <c r="G961" s="125">
        <f t="shared" si="32"/>
        <v>0</v>
      </c>
      <c r="H961" s="247"/>
    </row>
    <row r="962" spans="1:8" ht="16.5">
      <c r="A962" s="3">
        <f>IF(F962="","",COUNTA($F$959:F962))</f>
        <v>4</v>
      </c>
      <c r="B962" s="28" t="s">
        <v>16</v>
      </c>
      <c r="C962" s="44" t="s">
        <v>2702</v>
      </c>
      <c r="D962" s="243"/>
      <c r="E962" s="8">
        <v>1852000</v>
      </c>
      <c r="F962" s="8">
        <v>1852000</v>
      </c>
      <c r="G962" s="125">
        <f t="shared" si="32"/>
        <v>0</v>
      </c>
      <c r="H962" s="247"/>
    </row>
    <row r="963" spans="1:8" ht="16.5">
      <c r="A963" s="3">
        <f>IF(F963="","",COUNTA($F$959:F963))</f>
        <v>5</v>
      </c>
      <c r="B963" s="28" t="s">
        <v>17</v>
      </c>
      <c r="C963" s="44" t="s">
        <v>2702</v>
      </c>
      <c r="D963" s="243"/>
      <c r="E963" s="8">
        <v>1959000</v>
      </c>
      <c r="F963" s="8">
        <v>1959000</v>
      </c>
      <c r="G963" s="125">
        <f t="shared" si="32"/>
        <v>0</v>
      </c>
      <c r="H963" s="247"/>
    </row>
    <row r="964" spans="1:8" ht="16.5">
      <c r="A964" s="3">
        <f>IF(F964="","",COUNTA($F$959:F964))</f>
        <v>6</v>
      </c>
      <c r="B964" s="28" t="s">
        <v>18</v>
      </c>
      <c r="C964" s="44" t="s">
        <v>2702</v>
      </c>
      <c r="D964" s="243"/>
      <c r="E964" s="8">
        <v>1890000</v>
      </c>
      <c r="F964" s="8">
        <v>1890000</v>
      </c>
      <c r="G964" s="125">
        <f t="shared" si="32"/>
        <v>0</v>
      </c>
      <c r="H964" s="247"/>
    </row>
    <row r="965" spans="1:8" ht="16.5">
      <c r="A965" s="3">
        <f>IF(F965="","",COUNTA($F$959:F965))</f>
        <v>7</v>
      </c>
      <c r="B965" s="28" t="s">
        <v>19</v>
      </c>
      <c r="C965" s="44" t="s">
        <v>2702</v>
      </c>
      <c r="D965" s="243"/>
      <c r="E965" s="8">
        <v>2046000</v>
      </c>
      <c r="F965" s="8">
        <v>2046000</v>
      </c>
      <c r="G965" s="125">
        <f t="shared" si="32"/>
        <v>0</v>
      </c>
      <c r="H965" s="247"/>
    </row>
    <row r="966" spans="1:8" ht="16.5">
      <c r="A966" s="3">
        <f>IF(F966="","",COUNTA($F$959:F966))</f>
        <v>8</v>
      </c>
      <c r="B966" s="28" t="s">
        <v>20</v>
      </c>
      <c r="C966" s="44" t="s">
        <v>2702</v>
      </c>
      <c r="D966" s="243"/>
      <c r="E966" s="8">
        <v>1671000</v>
      </c>
      <c r="F966" s="8">
        <v>1671000</v>
      </c>
      <c r="G966" s="125">
        <f t="shared" si="32"/>
        <v>0</v>
      </c>
      <c r="H966" s="247"/>
    </row>
    <row r="967" spans="1:8" ht="16.5">
      <c r="A967" s="3">
        <f>IF(F967="","",COUNTA($F$959:F967))</f>
        <v>9</v>
      </c>
      <c r="B967" s="28" t="s">
        <v>21</v>
      </c>
      <c r="C967" s="44" t="s">
        <v>2702</v>
      </c>
      <c r="D967" s="243"/>
      <c r="E967" s="8">
        <v>1624000</v>
      </c>
      <c r="F967" s="8">
        <v>1624000</v>
      </c>
      <c r="G967" s="125">
        <f t="shared" si="32"/>
        <v>0</v>
      </c>
      <c r="H967" s="247"/>
    </row>
    <row r="968" spans="1:8" ht="33">
      <c r="A968" s="3">
        <f>IF(F968="","",COUNTA($F$959:F968))</f>
        <v>10</v>
      </c>
      <c r="B968" s="28" t="s">
        <v>22</v>
      </c>
      <c r="C968" s="44" t="s">
        <v>1950</v>
      </c>
      <c r="D968" s="243"/>
      <c r="E968" s="8">
        <v>166000</v>
      </c>
      <c r="F968" s="8">
        <v>166000</v>
      </c>
      <c r="G968" s="125">
        <f t="shared" si="32"/>
        <v>0</v>
      </c>
      <c r="H968" s="247"/>
    </row>
    <row r="969" spans="1:8" ht="33">
      <c r="A969" s="3">
        <f>IF(F969="","",COUNTA($F$959:F969))</f>
        <v>11</v>
      </c>
      <c r="B969" s="28" t="s">
        <v>23</v>
      </c>
      <c r="C969" s="44" t="s">
        <v>1950</v>
      </c>
      <c r="D969" s="243"/>
      <c r="E969" s="8">
        <v>332000</v>
      </c>
      <c r="F969" s="8">
        <v>332000</v>
      </c>
      <c r="G969" s="125">
        <f t="shared" si="32"/>
        <v>0</v>
      </c>
      <c r="H969" s="247"/>
    </row>
    <row r="970" spans="1:8" ht="33">
      <c r="A970" s="3">
        <f>IF(F970="","",COUNTA($F$959:F970))</f>
        <v>12</v>
      </c>
      <c r="B970" s="28" t="s">
        <v>24</v>
      </c>
      <c r="C970" s="44" t="s">
        <v>1950</v>
      </c>
      <c r="D970" s="243"/>
      <c r="E970" s="8">
        <v>377000</v>
      </c>
      <c r="F970" s="8">
        <v>377000</v>
      </c>
      <c r="G970" s="125">
        <f t="shared" si="32"/>
        <v>0</v>
      </c>
      <c r="H970" s="247"/>
    </row>
    <row r="971" spans="1:8" ht="33">
      <c r="A971" s="3">
        <f>IF(F971="","",COUNTA($F$959:F971))</f>
        <v>13</v>
      </c>
      <c r="B971" s="28" t="s">
        <v>25</v>
      </c>
      <c r="C971" s="44" t="s">
        <v>1950</v>
      </c>
      <c r="D971" s="243"/>
      <c r="E971" s="8">
        <v>599000</v>
      </c>
      <c r="F971" s="8">
        <v>599000</v>
      </c>
      <c r="G971" s="125">
        <f t="shared" si="32"/>
        <v>0</v>
      </c>
      <c r="H971" s="247"/>
    </row>
    <row r="972" spans="1:8" ht="33">
      <c r="A972" s="3">
        <f>IF(F972="","",COUNTA($F$959:F972))</f>
        <v>14</v>
      </c>
      <c r="B972" s="28" t="s">
        <v>26</v>
      </c>
      <c r="C972" s="44" t="s">
        <v>1950</v>
      </c>
      <c r="D972" s="243"/>
      <c r="E972" s="8">
        <v>696000</v>
      </c>
      <c r="F972" s="8">
        <v>696000</v>
      </c>
      <c r="G972" s="125">
        <f t="shared" si="32"/>
        <v>0</v>
      </c>
      <c r="H972" s="247"/>
    </row>
    <row r="973" spans="1:8" ht="33">
      <c r="A973" s="3">
        <f>IF(F973="","",COUNTA($F$959:F973))</f>
        <v>15</v>
      </c>
      <c r="B973" s="28" t="s">
        <v>27</v>
      </c>
      <c r="C973" s="44" t="s">
        <v>1950</v>
      </c>
      <c r="D973" s="243"/>
      <c r="E973" s="8">
        <v>599000</v>
      </c>
      <c r="F973" s="8">
        <v>599000</v>
      </c>
      <c r="G973" s="125">
        <f t="shared" si="32"/>
        <v>0</v>
      </c>
      <c r="H973" s="247"/>
    </row>
    <row r="974" spans="1:8" ht="33">
      <c r="A974" s="3">
        <f>IF(F974="","",COUNTA($F$959:F974))</f>
        <v>16</v>
      </c>
      <c r="B974" s="28" t="s">
        <v>28</v>
      </c>
      <c r="C974" s="44" t="s">
        <v>1950</v>
      </c>
      <c r="D974" s="243"/>
      <c r="E974" s="8">
        <v>951000</v>
      </c>
      <c r="F974" s="8">
        <v>951000</v>
      </c>
      <c r="G974" s="125">
        <f t="shared" si="32"/>
        <v>0</v>
      </c>
      <c r="H974" s="247"/>
    </row>
    <row r="975" spans="1:8" ht="16.5">
      <c r="A975" s="3">
        <f>IF(F975="","",COUNTA($F$959:F975))</f>
        <v>17</v>
      </c>
      <c r="B975" s="28" t="s">
        <v>29</v>
      </c>
      <c r="C975" s="44" t="s">
        <v>1950</v>
      </c>
      <c r="D975" s="243"/>
      <c r="E975" s="8">
        <v>1166000</v>
      </c>
      <c r="F975" s="8">
        <v>1166000</v>
      </c>
      <c r="G975" s="125">
        <f t="shared" si="32"/>
        <v>0</v>
      </c>
      <c r="H975" s="247"/>
    </row>
    <row r="976" spans="1:8" ht="33">
      <c r="A976" s="3">
        <f>IF(F976="","",COUNTA($F$959:F976))</f>
        <v>18</v>
      </c>
      <c r="B976" s="28" t="s">
        <v>30</v>
      </c>
      <c r="C976" s="44" t="s">
        <v>1950</v>
      </c>
      <c r="D976" s="243"/>
      <c r="E976" s="8">
        <v>1859000</v>
      </c>
      <c r="F976" s="8">
        <v>1859000</v>
      </c>
      <c r="G976" s="125">
        <f t="shared" si="32"/>
        <v>0</v>
      </c>
      <c r="H976" s="247"/>
    </row>
    <row r="977" spans="1:8" ht="33">
      <c r="A977" s="3">
        <f>IF(F977="","",COUNTA($F$959:F977))</f>
        <v>19</v>
      </c>
      <c r="B977" s="28" t="s">
        <v>31</v>
      </c>
      <c r="C977" s="44" t="s">
        <v>1950</v>
      </c>
      <c r="D977" s="243"/>
      <c r="E977" s="8">
        <v>2992000</v>
      </c>
      <c r="F977" s="8">
        <v>2992000</v>
      </c>
      <c r="G977" s="125">
        <f t="shared" si="32"/>
        <v>0</v>
      </c>
      <c r="H977" s="247"/>
    </row>
    <row r="978" spans="1:8" ht="33">
      <c r="A978" s="3">
        <f>IF(F978="","",COUNTA($F$959:F978))</f>
        <v>20</v>
      </c>
      <c r="B978" s="28" t="s">
        <v>34</v>
      </c>
      <c r="C978" s="44" t="s">
        <v>1950</v>
      </c>
      <c r="D978" s="243"/>
      <c r="E978" s="8">
        <v>4191000</v>
      </c>
      <c r="F978" s="8">
        <v>4191000</v>
      </c>
      <c r="G978" s="125">
        <f t="shared" si="32"/>
        <v>0</v>
      </c>
      <c r="H978" s="247"/>
    </row>
    <row r="979" spans="1:8" ht="33">
      <c r="A979" s="3">
        <f>IF(F979="","",COUNTA($F$959:F979))</f>
        <v>21</v>
      </c>
      <c r="B979" s="28" t="s">
        <v>32</v>
      </c>
      <c r="C979" s="44" t="s">
        <v>1950</v>
      </c>
      <c r="D979" s="243"/>
      <c r="E979" s="8">
        <v>1463000</v>
      </c>
      <c r="F979" s="8">
        <v>1463000</v>
      </c>
      <c r="G979" s="125">
        <f t="shared" si="32"/>
        <v>0</v>
      </c>
      <c r="H979" s="247"/>
    </row>
    <row r="980" spans="1:8" ht="33">
      <c r="A980" s="3">
        <f>IF(F980="","",COUNTA($F$959:F980))</f>
        <v>22</v>
      </c>
      <c r="B980" s="28" t="s">
        <v>33</v>
      </c>
      <c r="C980" s="44" t="s">
        <v>1950</v>
      </c>
      <c r="D980" s="243"/>
      <c r="E980" s="8">
        <v>1941000</v>
      </c>
      <c r="F980" s="8">
        <v>1941000</v>
      </c>
      <c r="G980" s="125">
        <f aca="true" t="shared" si="33" ref="G980:G1001">(E980-F980)/E980</f>
        <v>0</v>
      </c>
      <c r="H980" s="247"/>
    </row>
    <row r="981" spans="1:8" s="69" customFormat="1" ht="16.5">
      <c r="A981" s="20" t="s">
        <v>3189</v>
      </c>
      <c r="B981" s="33" t="s">
        <v>2278</v>
      </c>
      <c r="C981" s="52"/>
      <c r="D981" s="66"/>
      <c r="E981" s="67"/>
      <c r="F981" s="67"/>
      <c r="G981" s="125"/>
      <c r="H981" s="70"/>
    </row>
    <row r="982" spans="1:8" ht="33">
      <c r="A982" s="3">
        <f>IF(F982="","",COUNTA($F$959:F982))</f>
      </c>
      <c r="B982" s="27" t="s">
        <v>2279</v>
      </c>
      <c r="C982" s="44"/>
      <c r="D982" s="43"/>
      <c r="E982" s="8"/>
      <c r="F982" s="8"/>
      <c r="G982" s="125"/>
      <c r="H982" s="240" t="s">
        <v>2306</v>
      </c>
    </row>
    <row r="983" spans="1:8" ht="33">
      <c r="A983" s="3">
        <f>IF(F983="","",COUNTA($F$959:F983))</f>
        <v>23</v>
      </c>
      <c r="B983" s="28" t="s">
        <v>2280</v>
      </c>
      <c r="C983" s="44" t="s">
        <v>1135</v>
      </c>
      <c r="D983" s="237" t="s">
        <v>2292</v>
      </c>
      <c r="E983" s="8">
        <v>2418961</v>
      </c>
      <c r="F983" s="8">
        <v>2418961</v>
      </c>
      <c r="G983" s="125">
        <f t="shared" si="33"/>
        <v>0</v>
      </c>
      <c r="H983" s="241"/>
    </row>
    <row r="984" spans="1:8" ht="33">
      <c r="A984" s="3">
        <f>IF(F984="","",COUNTA($F$959:F984))</f>
        <v>24</v>
      </c>
      <c r="B984" s="28" t="s">
        <v>2281</v>
      </c>
      <c r="C984" s="44" t="s">
        <v>1135</v>
      </c>
      <c r="D984" s="239"/>
      <c r="E984" s="8">
        <v>2539909</v>
      </c>
      <c r="F984" s="8">
        <v>2539909</v>
      </c>
      <c r="G984" s="125">
        <f t="shared" si="33"/>
        <v>0</v>
      </c>
      <c r="H984" s="241"/>
    </row>
    <row r="985" spans="1:8" ht="33">
      <c r="A985" s="3">
        <f>IF(F985="","",COUNTA($F$959:F985))</f>
        <v>25</v>
      </c>
      <c r="B985" s="28" t="s">
        <v>2282</v>
      </c>
      <c r="C985" s="44" t="s">
        <v>1135</v>
      </c>
      <c r="D985" s="237" t="s">
        <v>2292</v>
      </c>
      <c r="E985" s="8">
        <v>2349613</v>
      </c>
      <c r="F985" s="8">
        <v>2349613</v>
      </c>
      <c r="G985" s="125">
        <f t="shared" si="33"/>
        <v>0</v>
      </c>
      <c r="H985" s="241"/>
    </row>
    <row r="986" spans="1:8" ht="33">
      <c r="A986" s="3">
        <f>IF(F986="","",COUNTA($F$959:F986))</f>
        <v>26</v>
      </c>
      <c r="B986" s="28" t="s">
        <v>2283</v>
      </c>
      <c r="C986" s="44" t="s">
        <v>1135</v>
      </c>
      <c r="D986" s="239"/>
      <c r="E986" s="8">
        <v>2467094</v>
      </c>
      <c r="F986" s="8">
        <v>2467094</v>
      </c>
      <c r="G986" s="125">
        <f t="shared" si="33"/>
        <v>0</v>
      </c>
      <c r="H986" s="241"/>
    </row>
    <row r="987" spans="1:8" ht="33">
      <c r="A987" s="3">
        <f>IF(F987="","",COUNTA($F$959:F987))</f>
        <v>27</v>
      </c>
      <c r="B987" s="28" t="s">
        <v>2284</v>
      </c>
      <c r="C987" s="44" t="s">
        <v>1135</v>
      </c>
      <c r="D987" s="237" t="s">
        <v>2293</v>
      </c>
      <c r="E987" s="8">
        <v>1503113</v>
      </c>
      <c r="F987" s="8">
        <v>1503113</v>
      </c>
      <c r="G987" s="125">
        <f t="shared" si="33"/>
        <v>0</v>
      </c>
      <c r="H987" s="241"/>
    </row>
    <row r="988" spans="1:8" ht="33">
      <c r="A988" s="3">
        <f>IF(F988="","",COUNTA($F$959:F988))</f>
        <v>28</v>
      </c>
      <c r="B988" s="28" t="s">
        <v>2285</v>
      </c>
      <c r="C988" s="44" t="s">
        <v>1135</v>
      </c>
      <c r="D988" s="239"/>
      <c r="E988" s="8">
        <v>1670125</v>
      </c>
      <c r="F988" s="8">
        <v>1670125</v>
      </c>
      <c r="G988" s="125">
        <f t="shared" si="33"/>
        <v>0</v>
      </c>
      <c r="H988" s="241"/>
    </row>
    <row r="989" spans="1:8" ht="33">
      <c r="A989" s="3">
        <f>IF(F989="","",COUNTA($F$959:F989))</f>
      </c>
      <c r="B989" s="27" t="s">
        <v>2288</v>
      </c>
      <c r="C989" s="44"/>
      <c r="D989" s="43"/>
      <c r="E989" s="8"/>
      <c r="F989" s="8"/>
      <c r="G989" s="125"/>
      <c r="H989" s="241"/>
    </row>
    <row r="990" spans="1:8" ht="33">
      <c r="A990" s="3">
        <f>IF(F990="","",COUNTA($F$959:F990))</f>
        <v>29</v>
      </c>
      <c r="B990" s="28" t="s">
        <v>2286</v>
      </c>
      <c r="C990" s="44" t="s">
        <v>1135</v>
      </c>
      <c r="D990" s="237" t="s">
        <v>2294</v>
      </c>
      <c r="E990" s="8">
        <v>1959703</v>
      </c>
      <c r="F990" s="8">
        <v>1959703</v>
      </c>
      <c r="G990" s="125">
        <f t="shared" si="33"/>
        <v>0</v>
      </c>
      <c r="H990" s="241"/>
    </row>
    <row r="991" spans="1:8" ht="33">
      <c r="A991" s="3">
        <f>IF(F991="","",COUNTA($F$959:F991))</f>
        <v>30</v>
      </c>
      <c r="B991" s="28" t="s">
        <v>2287</v>
      </c>
      <c r="C991" s="44" t="s">
        <v>1135</v>
      </c>
      <c r="D991" s="239"/>
      <c r="E991" s="8">
        <v>2155673</v>
      </c>
      <c r="F991" s="8">
        <v>2155673</v>
      </c>
      <c r="G991" s="125">
        <f t="shared" si="33"/>
        <v>0</v>
      </c>
      <c r="H991" s="241"/>
    </row>
    <row r="992" spans="1:8" ht="33">
      <c r="A992" s="3">
        <f>IF(F992="","",COUNTA($F$959:F992))</f>
      </c>
      <c r="B992" s="27" t="s">
        <v>2289</v>
      </c>
      <c r="C992" s="44"/>
      <c r="D992" s="43"/>
      <c r="E992" s="8"/>
      <c r="F992" s="8"/>
      <c r="G992" s="125"/>
      <c r="H992" s="241"/>
    </row>
    <row r="993" spans="1:8" ht="33">
      <c r="A993" s="3">
        <f>IF(F993="","",COUNTA($F$959:F993))</f>
        <v>31</v>
      </c>
      <c r="B993" s="28" t="s">
        <v>2290</v>
      </c>
      <c r="C993" s="44" t="s">
        <v>1135</v>
      </c>
      <c r="D993" s="237" t="s">
        <v>2295</v>
      </c>
      <c r="E993" s="8">
        <v>2510420</v>
      </c>
      <c r="F993" s="8">
        <v>2510420</v>
      </c>
      <c r="G993" s="125">
        <f t="shared" si="33"/>
        <v>0</v>
      </c>
      <c r="H993" s="241"/>
    </row>
    <row r="994" spans="1:8" ht="33">
      <c r="A994" s="3">
        <f>IF(F994="","",COUNTA($F$959:F994))</f>
        <v>32</v>
      </c>
      <c r="B994" s="28" t="s">
        <v>2291</v>
      </c>
      <c r="C994" s="44" t="s">
        <v>1135</v>
      </c>
      <c r="D994" s="239"/>
      <c r="E994" s="8">
        <v>2052717</v>
      </c>
      <c r="F994" s="8">
        <v>2052717</v>
      </c>
      <c r="G994" s="125">
        <f t="shared" si="33"/>
        <v>0</v>
      </c>
      <c r="H994" s="241"/>
    </row>
    <row r="995" spans="1:8" ht="33">
      <c r="A995" s="3">
        <f>IF(F995="","",COUNTA($F$959:F995))</f>
      </c>
      <c r="B995" s="27" t="s">
        <v>2296</v>
      </c>
      <c r="C995" s="44"/>
      <c r="D995" s="43"/>
      <c r="E995" s="8"/>
      <c r="F995" s="8"/>
      <c r="G995" s="125"/>
      <c r="H995" s="241"/>
    </row>
    <row r="996" spans="1:8" ht="33">
      <c r="A996" s="3">
        <f>IF(F996="","",COUNTA($F$959:F996))</f>
        <v>33</v>
      </c>
      <c r="B996" s="28" t="s">
        <v>2297</v>
      </c>
      <c r="C996" s="44" t="s">
        <v>1135</v>
      </c>
      <c r="D996" s="237" t="s">
        <v>2299</v>
      </c>
      <c r="E996" s="8">
        <v>2453389</v>
      </c>
      <c r="F996" s="8">
        <v>2453389</v>
      </c>
      <c r="G996" s="125">
        <f t="shared" si="33"/>
        <v>0</v>
      </c>
      <c r="H996" s="241"/>
    </row>
    <row r="997" spans="1:8" ht="33">
      <c r="A997" s="3">
        <f>IF(F997="","",COUNTA($F$959:F997))</f>
        <v>34</v>
      </c>
      <c r="B997" s="28" t="s">
        <v>2298</v>
      </c>
      <c r="C997" s="44" t="s">
        <v>1135</v>
      </c>
      <c r="D997" s="239"/>
      <c r="E997" s="8">
        <v>2576058</v>
      </c>
      <c r="F997" s="8">
        <v>2576058</v>
      </c>
      <c r="G997" s="125">
        <f t="shared" si="33"/>
        <v>0</v>
      </c>
      <c r="H997" s="241"/>
    </row>
    <row r="998" spans="1:8" ht="33">
      <c r="A998" s="3">
        <f>IF(F998="","",COUNTA($F$959:F998))</f>
        <v>35</v>
      </c>
      <c r="B998" s="28" t="s">
        <v>2301</v>
      </c>
      <c r="C998" s="44" t="s">
        <v>1135</v>
      </c>
      <c r="D998" s="237" t="s">
        <v>2300</v>
      </c>
      <c r="E998" s="8">
        <v>2538027</v>
      </c>
      <c r="F998" s="8">
        <v>2538027</v>
      </c>
      <c r="G998" s="125">
        <f t="shared" si="33"/>
        <v>0</v>
      </c>
      <c r="H998" s="241"/>
    </row>
    <row r="999" spans="1:8" ht="33">
      <c r="A999" s="3">
        <f>IF(F999="","",COUNTA($F$959:F999))</f>
        <v>36</v>
      </c>
      <c r="B999" s="28" t="s">
        <v>2302</v>
      </c>
      <c r="C999" s="44" t="s">
        <v>1135</v>
      </c>
      <c r="D999" s="239"/>
      <c r="E999" s="8">
        <v>2664928</v>
      </c>
      <c r="F999" s="8">
        <v>2664928</v>
      </c>
      <c r="G999" s="125">
        <f t="shared" si="33"/>
        <v>0</v>
      </c>
      <c r="H999" s="241"/>
    </row>
    <row r="1000" spans="1:8" ht="49.5">
      <c r="A1000" s="3">
        <f>IF(F1000="","",COUNTA($F$959:F1000))</f>
        <v>37</v>
      </c>
      <c r="B1000" s="28" t="s">
        <v>2303</v>
      </c>
      <c r="C1000" s="44" t="s">
        <v>1135</v>
      </c>
      <c r="D1000" s="237" t="s">
        <v>2305</v>
      </c>
      <c r="E1000" s="8">
        <v>2973039</v>
      </c>
      <c r="F1000" s="8">
        <v>2973039</v>
      </c>
      <c r="G1000" s="125">
        <f t="shared" si="33"/>
        <v>0</v>
      </c>
      <c r="H1000" s="241"/>
    </row>
    <row r="1001" spans="1:8" ht="49.5">
      <c r="A1001" s="3">
        <f>IF(F1001="","",COUNTA($F$959:F1001))</f>
        <v>38</v>
      </c>
      <c r="B1001" s="28" t="s">
        <v>2304</v>
      </c>
      <c r="C1001" s="44" t="s">
        <v>1135</v>
      </c>
      <c r="D1001" s="239"/>
      <c r="E1001" s="8">
        <v>3129515</v>
      </c>
      <c r="F1001" s="8">
        <v>3129515</v>
      </c>
      <c r="G1001" s="125">
        <f t="shared" si="33"/>
        <v>0</v>
      </c>
      <c r="H1001" s="242"/>
    </row>
    <row r="1002" spans="1:7" ht="16.5">
      <c r="A1002" s="12" t="s">
        <v>1700</v>
      </c>
      <c r="B1002" s="34" t="s">
        <v>1755</v>
      </c>
      <c r="G1002" s="125"/>
    </row>
    <row r="1003" spans="1:8" ht="103.5">
      <c r="A1003" s="3">
        <f>IF(F1003="","",COUNTA($F$1003:F1003))</f>
      </c>
      <c r="B1003" s="31" t="s">
        <v>958</v>
      </c>
      <c r="E1003" s="85"/>
      <c r="F1003" s="85"/>
      <c r="G1003" s="125"/>
      <c r="H1003" s="240" t="s">
        <v>1203</v>
      </c>
    </row>
    <row r="1004" spans="1:8" ht="16.5">
      <c r="A1004" s="3">
        <f>IF(F1004="","",COUNTA($F$1003:F1004))</f>
        <v>1</v>
      </c>
      <c r="B1004" s="58" t="s">
        <v>1459</v>
      </c>
      <c r="C1004" s="21" t="s">
        <v>1745</v>
      </c>
      <c r="D1004" s="247" t="s">
        <v>1462</v>
      </c>
      <c r="E1004" s="85">
        <v>240909</v>
      </c>
      <c r="F1004" s="178">
        <v>243636</v>
      </c>
      <c r="G1004" s="125">
        <f aca="true" t="shared" si="34" ref="G1004:G1053">(E1004-F1004)/F1004</f>
        <v>-0.011192927153622618</v>
      </c>
      <c r="H1004" s="241"/>
    </row>
    <row r="1005" spans="1:8" ht="16.5" customHeight="1">
      <c r="A1005" s="3">
        <f>IF(F1005="","",COUNTA($F$1003:F1005))</f>
        <v>2</v>
      </c>
      <c r="B1005" s="58" t="s">
        <v>1461</v>
      </c>
      <c r="C1005" s="21" t="s">
        <v>1745</v>
      </c>
      <c r="D1005" s="247"/>
      <c r="E1005" s="85">
        <v>255455</v>
      </c>
      <c r="F1005" s="178">
        <v>258182</v>
      </c>
      <c r="G1005" s="125">
        <f t="shared" si="34"/>
        <v>-0.010562316505410911</v>
      </c>
      <c r="H1005" s="241"/>
    </row>
    <row r="1006" spans="1:8" ht="16.5">
      <c r="A1006" s="3">
        <f>IF(F1006="","",COUNTA($F$1003:F1006))</f>
        <v>3</v>
      </c>
      <c r="B1006" s="58" t="s">
        <v>1463</v>
      </c>
      <c r="C1006" s="21" t="s">
        <v>1745</v>
      </c>
      <c r="D1006" s="247"/>
      <c r="E1006" s="85">
        <v>280000</v>
      </c>
      <c r="F1006" s="178">
        <v>279091</v>
      </c>
      <c r="G1006" s="125">
        <f t="shared" si="34"/>
        <v>0.003257002196416223</v>
      </c>
      <c r="H1006" s="241"/>
    </row>
    <row r="1007" spans="1:8" ht="49.5">
      <c r="A1007" s="3">
        <f>IF(F1007="","",COUNTA($F$1003:F1007))</f>
        <v>4</v>
      </c>
      <c r="B1007" s="58" t="s">
        <v>1465</v>
      </c>
      <c r="C1007" s="21" t="s">
        <v>1745</v>
      </c>
      <c r="D1007" s="102" t="s">
        <v>1464</v>
      </c>
      <c r="E1007" s="85">
        <v>243636</v>
      </c>
      <c r="F1007" s="178">
        <v>240909</v>
      </c>
      <c r="G1007" s="125">
        <f t="shared" si="34"/>
        <v>0.01131962691306676</v>
      </c>
      <c r="H1007" s="241"/>
    </row>
    <row r="1008" spans="1:8" ht="16.5">
      <c r="A1008" s="3">
        <f>IF(F1008="","",COUNTA($F$1003:F1008))</f>
        <v>5</v>
      </c>
      <c r="B1008" s="58" t="s">
        <v>1466</v>
      </c>
      <c r="C1008" s="21" t="s">
        <v>1745</v>
      </c>
      <c r="D1008" s="247" t="s">
        <v>1467</v>
      </c>
      <c r="E1008" s="85">
        <v>175455</v>
      </c>
      <c r="F1008" s="178">
        <v>175455</v>
      </c>
      <c r="G1008" s="125">
        <f t="shared" si="34"/>
        <v>0</v>
      </c>
      <c r="H1008" s="241"/>
    </row>
    <row r="1009" spans="1:8" ht="16.5">
      <c r="A1009" s="3">
        <f>IF(F1009="","",COUNTA($F$1003:F1009))</f>
        <v>6</v>
      </c>
      <c r="B1009" s="58" t="s">
        <v>1468</v>
      </c>
      <c r="C1009" s="21" t="s">
        <v>1745</v>
      </c>
      <c r="D1009" s="247"/>
      <c r="E1009" s="85">
        <v>191818</v>
      </c>
      <c r="F1009" s="178">
        <v>190000</v>
      </c>
      <c r="G1009" s="125">
        <f t="shared" si="34"/>
        <v>0.009568421052631578</v>
      </c>
      <c r="H1009" s="241"/>
    </row>
    <row r="1010" spans="1:8" ht="16.5">
      <c r="A1010" s="3">
        <f>IF(F1010="","",COUNTA($F$1003:F1010))</f>
        <v>7</v>
      </c>
      <c r="B1010" s="58" t="s">
        <v>1459</v>
      </c>
      <c r="C1010" s="21" t="s">
        <v>1745</v>
      </c>
      <c r="D1010" s="247"/>
      <c r="E1010" s="85">
        <v>199091</v>
      </c>
      <c r="F1010" s="178">
        <v>200909</v>
      </c>
      <c r="G1010" s="125">
        <f t="shared" si="34"/>
        <v>-0.009048872872793155</v>
      </c>
      <c r="H1010" s="241"/>
    </row>
    <row r="1011" spans="1:8" ht="16.5">
      <c r="A1011" s="3">
        <f>IF(F1011="","",COUNTA($F$1003:F1011))</f>
        <v>8</v>
      </c>
      <c r="B1011" s="58" t="s">
        <v>1469</v>
      </c>
      <c r="C1011" s="21" t="s">
        <v>1745</v>
      </c>
      <c r="D1011" s="247"/>
      <c r="E1011" s="85">
        <v>207273</v>
      </c>
      <c r="F1011" s="178">
        <v>209091</v>
      </c>
      <c r="G1011" s="125">
        <f t="shared" si="34"/>
        <v>-0.00869477882835703</v>
      </c>
      <c r="H1011" s="241"/>
    </row>
    <row r="1012" spans="1:8" ht="16.5">
      <c r="A1012" s="3">
        <f>IF(F1012="","",COUNTA($F$1003:F1012))</f>
        <v>9</v>
      </c>
      <c r="B1012" s="58" t="s">
        <v>1465</v>
      </c>
      <c r="C1012" s="21" t="s">
        <v>1745</v>
      </c>
      <c r="D1012" s="247"/>
      <c r="E1012" s="85">
        <v>210909</v>
      </c>
      <c r="F1012" s="178">
        <v>214545</v>
      </c>
      <c r="G1012" s="125">
        <f t="shared" si="34"/>
        <v>-0.01694749353282528</v>
      </c>
      <c r="H1012" s="241"/>
    </row>
    <row r="1013" spans="1:8" ht="16.5" customHeight="1">
      <c r="A1013" s="3">
        <f>IF(F1013="","",COUNTA($F$1003:F1013))</f>
        <v>10</v>
      </c>
      <c r="B1013" s="58" t="s">
        <v>1459</v>
      </c>
      <c r="C1013" s="21" t="s">
        <v>1745</v>
      </c>
      <c r="D1013" s="247" t="s">
        <v>172</v>
      </c>
      <c r="E1013" s="85">
        <v>191818</v>
      </c>
      <c r="F1013" s="178">
        <v>199091</v>
      </c>
      <c r="G1013" s="125">
        <f t="shared" si="34"/>
        <v>-0.036531033547473266</v>
      </c>
      <c r="H1013" s="241"/>
    </row>
    <row r="1014" spans="1:8" ht="16.5">
      <c r="A1014" s="3">
        <f>IF(F1014="","",COUNTA($F$1003:F1014))</f>
        <v>11</v>
      </c>
      <c r="B1014" s="58" t="s">
        <v>1465</v>
      </c>
      <c r="C1014" s="21" t="s">
        <v>1745</v>
      </c>
      <c r="D1014" s="247"/>
      <c r="E1014" s="85">
        <v>204545</v>
      </c>
      <c r="F1014" s="178">
        <v>209091</v>
      </c>
      <c r="G1014" s="125">
        <f t="shared" si="34"/>
        <v>-0.021741729677508835</v>
      </c>
      <c r="H1014" s="241"/>
    </row>
    <row r="1015" spans="1:8" ht="16.5">
      <c r="A1015" s="3">
        <f>IF(F1015="","",COUNTA($F$1003:F1015))</f>
        <v>12</v>
      </c>
      <c r="B1015" s="58" t="s">
        <v>1466</v>
      </c>
      <c r="C1015" s="21" t="s">
        <v>1745</v>
      </c>
      <c r="D1015" s="247" t="s">
        <v>1470</v>
      </c>
      <c r="E1015" s="85">
        <v>153636</v>
      </c>
      <c r="F1015" s="178">
        <v>158182</v>
      </c>
      <c r="G1015" s="125">
        <f t="shared" si="34"/>
        <v>-0.02873904742638227</v>
      </c>
      <c r="H1015" s="241"/>
    </row>
    <row r="1016" spans="1:8" ht="16.5">
      <c r="A1016" s="3">
        <f>IF(F1016="","",COUNTA($F$1003:F1016))</f>
        <v>13</v>
      </c>
      <c r="B1016" s="58" t="s">
        <v>1468</v>
      </c>
      <c r="C1016" s="21" t="s">
        <v>1745</v>
      </c>
      <c r="D1016" s="247"/>
      <c r="E1016" s="85">
        <v>163636</v>
      </c>
      <c r="F1016" s="178">
        <v>171818</v>
      </c>
      <c r="G1016" s="125">
        <f t="shared" si="34"/>
        <v>-0.047620156211805514</v>
      </c>
      <c r="H1016" s="241"/>
    </row>
    <row r="1017" spans="1:8" ht="16.5">
      <c r="A1017" s="3">
        <f>IF(F1017="","",COUNTA($F$1003:F1017))</f>
        <v>14</v>
      </c>
      <c r="B1017" s="58" t="s">
        <v>1459</v>
      </c>
      <c r="C1017" s="21" t="s">
        <v>1745</v>
      </c>
      <c r="D1017" s="247"/>
      <c r="E1017" s="85">
        <v>170000</v>
      </c>
      <c r="F1017" s="178">
        <v>180000</v>
      </c>
      <c r="G1017" s="125">
        <f t="shared" si="34"/>
        <v>-0.05555555555555555</v>
      </c>
      <c r="H1017" s="241"/>
    </row>
    <row r="1018" spans="1:8" ht="16.5">
      <c r="A1018" s="3">
        <f>IF(F1018="","",COUNTA($F$1003:F1018))</f>
        <v>15</v>
      </c>
      <c r="B1018" s="58" t="s">
        <v>1465</v>
      </c>
      <c r="C1018" s="21" t="s">
        <v>1745</v>
      </c>
      <c r="D1018" s="247"/>
      <c r="E1018" s="85">
        <v>190000</v>
      </c>
      <c r="F1018" s="178">
        <v>196364</v>
      </c>
      <c r="G1018" s="125">
        <f t="shared" si="34"/>
        <v>-0.03240919924222362</v>
      </c>
      <c r="H1018" s="241"/>
    </row>
    <row r="1019" spans="1:8" ht="103.5">
      <c r="A1019" s="3">
        <f>IF(F1019="","",COUNTA($F$1003:F1019))</f>
      </c>
      <c r="B1019" s="31" t="s">
        <v>1743</v>
      </c>
      <c r="E1019" s="85"/>
      <c r="F1019" s="178"/>
      <c r="G1019" s="125"/>
      <c r="H1019" s="241"/>
    </row>
    <row r="1020" spans="1:8" ht="16.5">
      <c r="A1020" s="3">
        <f>IF(F1020="","",COUNTA($F$1003:F1020))</f>
        <v>16</v>
      </c>
      <c r="B1020" s="22" t="s">
        <v>1744</v>
      </c>
      <c r="C1020" s="21" t="s">
        <v>1745</v>
      </c>
      <c r="D1020" s="243" t="s">
        <v>169</v>
      </c>
      <c r="E1020" s="85">
        <v>231818</v>
      </c>
      <c r="F1020" s="178">
        <v>238182</v>
      </c>
      <c r="G1020" s="125">
        <f t="shared" si="34"/>
        <v>-0.026719063573233913</v>
      </c>
      <c r="H1020" s="241"/>
    </row>
    <row r="1021" spans="1:8" ht="16.5">
      <c r="A1021" s="3">
        <f>IF(F1021="","",COUNTA($F$1003:F1021))</f>
        <v>17</v>
      </c>
      <c r="B1021" s="22" t="s">
        <v>1746</v>
      </c>
      <c r="C1021" s="21" t="s">
        <v>1745</v>
      </c>
      <c r="D1021" s="243"/>
      <c r="E1021" s="85">
        <v>246364</v>
      </c>
      <c r="F1021" s="178">
        <v>252727</v>
      </c>
      <c r="G1021" s="125">
        <f t="shared" si="34"/>
        <v>-0.025177365299315073</v>
      </c>
      <c r="H1021" s="241"/>
    </row>
    <row r="1022" spans="1:8" ht="16.5" customHeight="1">
      <c r="A1022" s="3">
        <f>IF(F1022="","",COUNTA($F$1003:F1022))</f>
        <v>18</v>
      </c>
      <c r="B1022" s="22" t="s">
        <v>1747</v>
      </c>
      <c r="C1022" s="21" t="s">
        <v>1745</v>
      </c>
      <c r="D1022" s="243"/>
      <c r="E1022" s="85">
        <v>270000</v>
      </c>
      <c r="F1022" s="178">
        <v>274545</v>
      </c>
      <c r="G1022" s="125">
        <f t="shared" si="34"/>
        <v>-0.016554663169972134</v>
      </c>
      <c r="H1022" s="241"/>
    </row>
    <row r="1023" spans="1:8" ht="49.5">
      <c r="A1023" s="3">
        <f>IF(F1023="","",COUNTA($F$1003:F1023))</f>
        <v>19</v>
      </c>
      <c r="B1023" s="22" t="s">
        <v>1746</v>
      </c>
      <c r="C1023" s="21" t="s">
        <v>1745</v>
      </c>
      <c r="D1023" s="102" t="s">
        <v>1464</v>
      </c>
      <c r="E1023" s="85">
        <v>233636</v>
      </c>
      <c r="F1023" s="178">
        <v>236364</v>
      </c>
      <c r="G1023" s="125">
        <f t="shared" si="34"/>
        <v>-0.01154152070535276</v>
      </c>
      <c r="H1023" s="241"/>
    </row>
    <row r="1024" spans="1:8" ht="16.5">
      <c r="A1024" s="3">
        <f>IF(F1024="","",COUNTA($F$1003:F1024))</f>
        <v>20</v>
      </c>
      <c r="B1024" s="22" t="s">
        <v>1749</v>
      </c>
      <c r="C1024" s="21" t="s">
        <v>1745</v>
      </c>
      <c r="D1024" s="243" t="s">
        <v>170</v>
      </c>
      <c r="E1024" s="85">
        <v>165455</v>
      </c>
      <c r="F1024" s="178">
        <v>170000</v>
      </c>
      <c r="G1024" s="125">
        <f t="shared" si="34"/>
        <v>-0.02673529411764706</v>
      </c>
      <c r="H1024" s="241"/>
    </row>
    <row r="1025" spans="1:8" ht="16.5">
      <c r="A1025" s="3">
        <f>IF(F1025="","",COUNTA($F$1003:F1025))</f>
        <v>21</v>
      </c>
      <c r="B1025" s="22" t="s">
        <v>1750</v>
      </c>
      <c r="C1025" s="21" t="s">
        <v>1745</v>
      </c>
      <c r="D1025" s="243"/>
      <c r="E1025" s="85">
        <v>181818</v>
      </c>
      <c r="F1025" s="178">
        <v>184545</v>
      </c>
      <c r="G1025" s="125">
        <f t="shared" si="34"/>
        <v>-0.014776883686905632</v>
      </c>
      <c r="H1025" s="241"/>
    </row>
    <row r="1026" spans="1:8" ht="16.5">
      <c r="A1026" s="3">
        <f>IF(F1026="","",COUNTA($F$1003:F1026))</f>
        <v>22</v>
      </c>
      <c r="B1026" s="22" t="s">
        <v>1744</v>
      </c>
      <c r="C1026" s="21" t="s">
        <v>1745</v>
      </c>
      <c r="D1026" s="243"/>
      <c r="E1026" s="85">
        <v>190000</v>
      </c>
      <c r="F1026" s="178">
        <v>196364</v>
      </c>
      <c r="G1026" s="125">
        <f t="shared" si="34"/>
        <v>-0.03240919924222362</v>
      </c>
      <c r="H1026" s="241"/>
    </row>
    <row r="1027" spans="1:8" ht="16.5">
      <c r="A1027" s="3">
        <f>IF(F1027="","",COUNTA($F$1003:F1027))</f>
        <v>23</v>
      </c>
      <c r="B1027" s="22" t="s">
        <v>1751</v>
      </c>
      <c r="C1027" s="21" t="s">
        <v>1745</v>
      </c>
      <c r="D1027" s="243"/>
      <c r="E1027" s="85">
        <v>197273</v>
      </c>
      <c r="F1027" s="178">
        <v>204545</v>
      </c>
      <c r="G1027" s="125">
        <f t="shared" si="34"/>
        <v>-0.03555207900462001</v>
      </c>
      <c r="H1027" s="241"/>
    </row>
    <row r="1028" spans="1:8" ht="16.5" customHeight="1">
      <c r="A1028" s="3">
        <f>IF(F1028="","",COUNTA($F$1003:F1028))</f>
        <v>24</v>
      </c>
      <c r="B1028" s="22" t="s">
        <v>1748</v>
      </c>
      <c r="C1028" s="21" t="s">
        <v>1745</v>
      </c>
      <c r="D1028" s="243"/>
      <c r="E1028" s="85">
        <v>200909</v>
      </c>
      <c r="F1028" s="178">
        <v>210000</v>
      </c>
      <c r="G1028" s="125">
        <f t="shared" si="34"/>
        <v>-0.04329047619047619</v>
      </c>
      <c r="H1028" s="241"/>
    </row>
    <row r="1029" spans="1:8" ht="16.5">
      <c r="A1029" s="3">
        <f>IF(F1029="","",COUNTA($F$1003:F1029))</f>
        <v>25</v>
      </c>
      <c r="B1029" s="22" t="s">
        <v>1749</v>
      </c>
      <c r="C1029" s="21" t="s">
        <v>1745</v>
      </c>
      <c r="D1029" s="243" t="s">
        <v>959</v>
      </c>
      <c r="E1029" s="85">
        <v>154545</v>
      </c>
      <c r="F1029" s="178">
        <v>154545</v>
      </c>
      <c r="G1029" s="125">
        <f t="shared" si="34"/>
        <v>0</v>
      </c>
      <c r="H1029" s="241"/>
    </row>
    <row r="1030" spans="1:8" ht="16.5">
      <c r="A1030" s="3">
        <f>IF(F1030="","",COUNTA($F$1003:F1030))</f>
        <v>26</v>
      </c>
      <c r="B1030" s="22" t="s">
        <v>1750</v>
      </c>
      <c r="C1030" s="21" t="s">
        <v>1745</v>
      </c>
      <c r="D1030" s="243"/>
      <c r="E1030" s="85">
        <v>168182</v>
      </c>
      <c r="F1030" s="178">
        <v>168182</v>
      </c>
      <c r="G1030" s="125">
        <f t="shared" si="34"/>
        <v>0</v>
      </c>
      <c r="H1030" s="241"/>
    </row>
    <row r="1031" spans="1:8" ht="16.5">
      <c r="A1031" s="3">
        <f>IF(F1031="","",COUNTA($F$1003:F1031))</f>
        <v>27</v>
      </c>
      <c r="B1031" s="22" t="s">
        <v>1744</v>
      </c>
      <c r="C1031" s="21" t="s">
        <v>1745</v>
      </c>
      <c r="D1031" s="243"/>
      <c r="E1031" s="85">
        <v>179091</v>
      </c>
      <c r="F1031" s="178">
        <v>179091</v>
      </c>
      <c r="G1031" s="125">
        <f t="shared" si="34"/>
        <v>0</v>
      </c>
      <c r="H1031" s="241"/>
    </row>
    <row r="1032" spans="1:9" ht="16.5" customHeight="1">
      <c r="A1032" s="3">
        <f>IF(F1032="","",COUNTA($F$1003:F1032))</f>
        <v>28</v>
      </c>
      <c r="B1032" s="22" t="s">
        <v>1748</v>
      </c>
      <c r="C1032" s="21" t="s">
        <v>1745</v>
      </c>
      <c r="D1032" s="243"/>
      <c r="E1032" s="85">
        <v>194545</v>
      </c>
      <c r="F1032" s="178">
        <v>194545</v>
      </c>
      <c r="G1032" s="125">
        <f t="shared" si="34"/>
        <v>0</v>
      </c>
      <c r="H1032" s="241"/>
      <c r="I1032" s="171"/>
    </row>
    <row r="1033" spans="1:9" ht="16.5">
      <c r="A1033" s="3">
        <f>IF(F1033="","",COUNTA($F$1003:F1033))</f>
        <v>29</v>
      </c>
      <c r="B1033" s="22" t="s">
        <v>1744</v>
      </c>
      <c r="C1033" s="21" t="s">
        <v>1745</v>
      </c>
      <c r="D1033" s="243" t="s">
        <v>172</v>
      </c>
      <c r="E1033" s="85">
        <v>181818</v>
      </c>
      <c r="F1033" s="178">
        <v>194545</v>
      </c>
      <c r="G1033" s="125">
        <f t="shared" si="34"/>
        <v>-0.06541931172736384</v>
      </c>
      <c r="H1033" s="241"/>
      <c r="I1033" s="171"/>
    </row>
    <row r="1034" spans="1:9" ht="16.5" customHeight="1">
      <c r="A1034" s="3">
        <f>IF(F1034="","",COUNTA($F$1003:F1034))</f>
        <v>30</v>
      </c>
      <c r="B1034" s="22" t="s">
        <v>1748</v>
      </c>
      <c r="C1034" s="21" t="s">
        <v>1745</v>
      </c>
      <c r="D1034" s="243"/>
      <c r="E1034" s="85">
        <v>194545</v>
      </c>
      <c r="F1034" s="178">
        <v>204545</v>
      </c>
      <c r="G1034" s="125">
        <f t="shared" si="34"/>
        <v>-0.04888899753110562</v>
      </c>
      <c r="H1034" s="241"/>
      <c r="I1034" s="171"/>
    </row>
    <row r="1035" spans="1:9" ht="69">
      <c r="A1035" s="3">
        <f>IF(F1035="","",COUNTA($F$1003:F1035))</f>
      </c>
      <c r="B1035" s="31" t="s">
        <v>1458</v>
      </c>
      <c r="E1035" s="85"/>
      <c r="F1035" s="178"/>
      <c r="G1035" s="125"/>
      <c r="H1035" s="241"/>
      <c r="I1035" s="171"/>
    </row>
    <row r="1036" spans="1:9" ht="16.5">
      <c r="A1036" s="3">
        <f>IF(F1036="","",COUNTA($F$1003:F1036))</f>
        <v>31</v>
      </c>
      <c r="B1036" s="58" t="s">
        <v>1459</v>
      </c>
      <c r="C1036" s="21" t="s">
        <v>1745</v>
      </c>
      <c r="D1036" s="247" t="s">
        <v>1462</v>
      </c>
      <c r="E1036" s="85">
        <v>224545</v>
      </c>
      <c r="F1036" s="178">
        <v>228182</v>
      </c>
      <c r="G1036" s="125">
        <f t="shared" si="34"/>
        <v>-0.01593903112427799</v>
      </c>
      <c r="H1036" s="241"/>
      <c r="I1036" s="171"/>
    </row>
    <row r="1037" spans="1:9" ht="16.5">
      <c r="A1037" s="3">
        <f>IF(F1037="","",COUNTA($F$1003:F1037))</f>
        <v>32</v>
      </c>
      <c r="B1037" s="58" t="s">
        <v>1461</v>
      </c>
      <c r="C1037" s="21" t="s">
        <v>1745</v>
      </c>
      <c r="D1037" s="247"/>
      <c r="E1037" s="85">
        <v>239091</v>
      </c>
      <c r="F1037" s="178">
        <v>243636</v>
      </c>
      <c r="G1037" s="125">
        <f t="shared" si="34"/>
        <v>-0.018654878589371027</v>
      </c>
      <c r="H1037" s="241"/>
      <c r="I1037" s="171"/>
    </row>
    <row r="1038" spans="1:9" ht="16.5">
      <c r="A1038" s="3">
        <f>IF(F1038="","",COUNTA($F$1003:F1038))</f>
        <v>33</v>
      </c>
      <c r="B1038" s="58" t="s">
        <v>1463</v>
      </c>
      <c r="C1038" s="21" t="s">
        <v>1745</v>
      </c>
      <c r="D1038" s="247"/>
      <c r="E1038" s="85">
        <v>263636</v>
      </c>
      <c r="F1038" s="178">
        <v>264545</v>
      </c>
      <c r="G1038" s="125">
        <f t="shared" si="34"/>
        <v>-0.003436088378158725</v>
      </c>
      <c r="H1038" s="241"/>
      <c r="I1038" s="171"/>
    </row>
    <row r="1039" spans="1:9" ht="49.5">
      <c r="A1039" s="3">
        <f>IF(F1039="","",COUNTA($F$1003:F1039))</f>
        <v>34</v>
      </c>
      <c r="B1039" s="58" t="s">
        <v>1465</v>
      </c>
      <c r="C1039" s="21" t="s">
        <v>1745</v>
      </c>
      <c r="D1039" s="57" t="s">
        <v>1464</v>
      </c>
      <c r="E1039" s="85">
        <v>226364</v>
      </c>
      <c r="F1039" s="178">
        <v>226364</v>
      </c>
      <c r="G1039" s="125">
        <f t="shared" si="34"/>
        <v>0</v>
      </c>
      <c r="H1039" s="241"/>
      <c r="I1039" s="171"/>
    </row>
    <row r="1040" spans="1:9" ht="16.5">
      <c r="A1040" s="3">
        <f>IF(F1040="","",COUNTA($F$1003:F1040))</f>
        <v>35</v>
      </c>
      <c r="B1040" s="58" t="s">
        <v>1466</v>
      </c>
      <c r="C1040" s="21" t="s">
        <v>1745</v>
      </c>
      <c r="D1040" s="247" t="s">
        <v>1467</v>
      </c>
      <c r="E1040" s="85">
        <v>158182</v>
      </c>
      <c r="F1040" s="178">
        <v>161818</v>
      </c>
      <c r="G1040" s="125">
        <f t="shared" si="34"/>
        <v>-0.022469688168188954</v>
      </c>
      <c r="H1040" s="241"/>
      <c r="I1040" s="171"/>
    </row>
    <row r="1041" spans="1:9" ht="16.5" customHeight="1">
      <c r="A1041" s="3">
        <f>IF(F1041="","",COUNTA($F$1003:F1041))</f>
        <v>36</v>
      </c>
      <c r="B1041" s="58" t="s">
        <v>1468</v>
      </c>
      <c r="C1041" s="21" t="s">
        <v>1745</v>
      </c>
      <c r="D1041" s="247"/>
      <c r="E1041" s="85">
        <v>175455</v>
      </c>
      <c r="F1041" s="178">
        <v>177273</v>
      </c>
      <c r="G1041" s="125">
        <f t="shared" si="34"/>
        <v>-0.010255368837894095</v>
      </c>
      <c r="H1041" s="241"/>
      <c r="I1041" s="171"/>
    </row>
    <row r="1042" spans="1:9" ht="16.5">
      <c r="A1042" s="3">
        <f>IF(F1042="","",COUNTA($F$1003:F1042))</f>
        <v>37</v>
      </c>
      <c r="B1042" s="58" t="s">
        <v>1459</v>
      </c>
      <c r="C1042" s="21" t="s">
        <v>1745</v>
      </c>
      <c r="D1042" s="247"/>
      <c r="E1042" s="85">
        <v>182727</v>
      </c>
      <c r="F1042" s="178">
        <v>188182</v>
      </c>
      <c r="G1042" s="125">
        <f t="shared" si="34"/>
        <v>-0.028987894697686284</v>
      </c>
      <c r="H1042" s="241"/>
      <c r="I1042" s="171"/>
    </row>
    <row r="1043" spans="1:9" ht="16.5">
      <c r="A1043" s="3">
        <f>IF(F1043="","",COUNTA($F$1003:F1043))</f>
        <v>38</v>
      </c>
      <c r="B1043" s="58" t="s">
        <v>1469</v>
      </c>
      <c r="C1043" s="21" t="s">
        <v>1745</v>
      </c>
      <c r="D1043" s="247"/>
      <c r="E1043" s="85">
        <v>190909</v>
      </c>
      <c r="F1043" s="178">
        <v>195455</v>
      </c>
      <c r="G1043" s="125">
        <f t="shared" si="34"/>
        <v>-0.023258550561510324</v>
      </c>
      <c r="H1043" s="241"/>
      <c r="I1043" s="171"/>
    </row>
    <row r="1044" spans="1:9" ht="16.5">
      <c r="A1044" s="3">
        <f>IF(F1044="","",COUNTA($F$1003:F1044))</f>
        <v>39</v>
      </c>
      <c r="B1044" s="58" t="s">
        <v>1465</v>
      </c>
      <c r="C1044" s="21" t="s">
        <v>1745</v>
      </c>
      <c r="D1044" s="247"/>
      <c r="E1044" s="85">
        <v>195455</v>
      </c>
      <c r="F1044" s="178">
        <v>200909</v>
      </c>
      <c r="G1044" s="125">
        <f t="shared" si="34"/>
        <v>-0.027146618618379467</v>
      </c>
      <c r="H1044" s="241"/>
      <c r="I1044" s="171"/>
    </row>
    <row r="1045" spans="1:9" ht="16.5" customHeight="1">
      <c r="A1045" s="3">
        <f>IF(F1045="","",COUNTA($F$1003:F1045))</f>
        <v>40</v>
      </c>
      <c r="B1045" s="58" t="s">
        <v>1459</v>
      </c>
      <c r="C1045" s="21" t="s">
        <v>1745</v>
      </c>
      <c r="D1045" s="247" t="s">
        <v>172</v>
      </c>
      <c r="E1045" s="85">
        <v>175455</v>
      </c>
      <c r="F1045" s="178">
        <v>185455</v>
      </c>
      <c r="G1045" s="125">
        <f t="shared" si="34"/>
        <v>-0.053921436467067485</v>
      </c>
      <c r="H1045" s="241"/>
      <c r="I1045" s="171"/>
    </row>
    <row r="1046" spans="1:9" ht="16.5">
      <c r="A1046" s="3">
        <f>IF(F1046="","",COUNTA($F$1003:F1046))</f>
        <v>41</v>
      </c>
      <c r="B1046" s="58" t="s">
        <v>1465</v>
      </c>
      <c r="C1046" s="21" t="s">
        <v>1745</v>
      </c>
      <c r="D1046" s="247"/>
      <c r="E1046" s="85">
        <v>188182</v>
      </c>
      <c r="F1046" s="178">
        <v>195455</v>
      </c>
      <c r="G1046" s="125">
        <f t="shared" si="34"/>
        <v>-0.03721061113811363</v>
      </c>
      <c r="H1046" s="241"/>
      <c r="I1046" s="171"/>
    </row>
    <row r="1047" spans="1:9" ht="16.5">
      <c r="A1047" s="3">
        <f>IF(F1047="","",COUNTA($F$1003:F1047))</f>
        <v>42</v>
      </c>
      <c r="B1047" s="58" t="s">
        <v>1466</v>
      </c>
      <c r="C1047" s="21" t="s">
        <v>1745</v>
      </c>
      <c r="D1047" s="247" t="s">
        <v>1470</v>
      </c>
      <c r="E1047" s="85">
        <v>137273</v>
      </c>
      <c r="F1047" s="178">
        <v>144545</v>
      </c>
      <c r="G1047" s="125">
        <f t="shared" si="34"/>
        <v>-0.05030959216852883</v>
      </c>
      <c r="H1047" s="241"/>
      <c r="I1047" s="171"/>
    </row>
    <row r="1048" spans="1:9" ht="16.5">
      <c r="A1048" s="3">
        <f>IF(F1048="","",COUNTA($F$1003:F1048))</f>
        <v>43</v>
      </c>
      <c r="B1048" s="58" t="s">
        <v>1468</v>
      </c>
      <c r="C1048" s="21" t="s">
        <v>1745</v>
      </c>
      <c r="D1048" s="247"/>
      <c r="E1048" s="85">
        <v>147273</v>
      </c>
      <c r="F1048" s="178">
        <v>158182</v>
      </c>
      <c r="G1048" s="125">
        <f t="shared" si="34"/>
        <v>-0.06896486325877786</v>
      </c>
      <c r="H1048" s="241"/>
      <c r="I1048" s="171"/>
    </row>
    <row r="1049" spans="1:9" ht="16.5">
      <c r="A1049" s="3">
        <f>IF(F1049="","",COUNTA($F$1003:F1049))</f>
        <v>44</v>
      </c>
      <c r="B1049" s="58" t="s">
        <v>1459</v>
      </c>
      <c r="C1049" s="21" t="s">
        <v>1745</v>
      </c>
      <c r="D1049" s="247"/>
      <c r="E1049" s="85">
        <v>153636</v>
      </c>
      <c r="F1049" s="178">
        <v>166364</v>
      </c>
      <c r="G1049" s="125">
        <f t="shared" si="34"/>
        <v>-0.07650693659685989</v>
      </c>
      <c r="H1049" s="241"/>
      <c r="I1049" s="172"/>
    </row>
    <row r="1050" spans="1:9" ht="16.5" customHeight="1">
      <c r="A1050" s="3">
        <f>IF(F1050="","",COUNTA($F$1003:F1050))</f>
        <v>45</v>
      </c>
      <c r="B1050" s="58" t="s">
        <v>1465</v>
      </c>
      <c r="C1050" s="21" t="s">
        <v>1745</v>
      </c>
      <c r="D1050" s="247"/>
      <c r="E1050" s="85">
        <v>172727</v>
      </c>
      <c r="F1050" s="178">
        <v>182727</v>
      </c>
      <c r="G1050" s="125">
        <f t="shared" si="34"/>
        <v>-0.054726449840472396</v>
      </c>
      <c r="H1050" s="241"/>
      <c r="I1050" s="171"/>
    </row>
    <row r="1051" spans="1:9" ht="69">
      <c r="A1051" s="3">
        <f>IF(F1051="","",COUNTA($F$1003:F1051))</f>
      </c>
      <c r="B1051" s="31" t="s">
        <v>1472</v>
      </c>
      <c r="C1051" s="20"/>
      <c r="E1051" s="85"/>
      <c r="F1051" s="178"/>
      <c r="G1051" s="125"/>
      <c r="H1051" s="241"/>
      <c r="I1051" s="171"/>
    </row>
    <row r="1052" spans="1:9" ht="16.5" customHeight="1">
      <c r="A1052" s="3">
        <f>IF(F1052="","",COUNTA($F$1003:F1052))</f>
        <v>46</v>
      </c>
      <c r="B1052" s="58" t="s">
        <v>1473</v>
      </c>
      <c r="C1052" s="21" t="s">
        <v>1745</v>
      </c>
      <c r="D1052" s="240" t="s">
        <v>1756</v>
      </c>
      <c r="E1052" s="85">
        <v>165455</v>
      </c>
      <c r="F1052" s="178">
        <v>162727</v>
      </c>
      <c r="G1052" s="125">
        <f t="shared" si="34"/>
        <v>0.016764273906604312</v>
      </c>
      <c r="H1052" s="241"/>
      <c r="I1052" s="171"/>
    </row>
    <row r="1053" spans="1:9" ht="16.5">
      <c r="A1053" s="3">
        <f>IF(F1053="","",COUNTA($F$1003:F1053))</f>
        <v>47</v>
      </c>
      <c r="B1053" s="58" t="s">
        <v>1476</v>
      </c>
      <c r="C1053" s="21" t="s">
        <v>1745</v>
      </c>
      <c r="D1053" s="241"/>
      <c r="E1053" s="85">
        <v>176364</v>
      </c>
      <c r="F1053" s="178">
        <v>178182</v>
      </c>
      <c r="G1053" s="125">
        <f t="shared" si="34"/>
        <v>-0.010203050813213457</v>
      </c>
      <c r="H1053" s="241"/>
      <c r="I1053" s="171"/>
    </row>
    <row r="1054" spans="1:9" ht="16.5">
      <c r="A1054" s="3">
        <f>IF(F1054="","",COUNTA($F$1003:F1054))</f>
        <v>48</v>
      </c>
      <c r="B1054" s="58" t="s">
        <v>427</v>
      </c>
      <c r="C1054" s="21" t="s">
        <v>1745</v>
      </c>
      <c r="D1054" s="242"/>
      <c r="E1054" s="85">
        <v>201818</v>
      </c>
      <c r="F1054" s="178">
        <v>199091</v>
      </c>
      <c r="G1054" s="125">
        <f aca="true" t="shared" si="35" ref="G1054:G1086">(E1054-F1054)/F1054</f>
        <v>0.013697254019518712</v>
      </c>
      <c r="H1054" s="241"/>
      <c r="I1054" s="173"/>
    </row>
    <row r="1055" spans="1:9" ht="16.5">
      <c r="A1055" s="3">
        <f>IF(F1055="","",COUNTA($F$1003:F1055))</f>
        <v>49</v>
      </c>
      <c r="B1055" s="58" t="s">
        <v>430</v>
      </c>
      <c r="C1055" s="21" t="s">
        <v>1745</v>
      </c>
      <c r="D1055" s="247" t="s">
        <v>431</v>
      </c>
      <c r="E1055" s="85">
        <v>98182</v>
      </c>
      <c r="F1055" s="178">
        <v>98182</v>
      </c>
      <c r="G1055" s="125">
        <f t="shared" si="35"/>
        <v>0</v>
      </c>
      <c r="H1055" s="241"/>
      <c r="I1055" s="173"/>
    </row>
    <row r="1056" spans="1:9" ht="16.5">
      <c r="A1056" s="3">
        <f>IF(F1056="","",COUNTA($F$1003:F1056))</f>
        <v>50</v>
      </c>
      <c r="B1056" s="58" t="s">
        <v>432</v>
      </c>
      <c r="C1056" s="21" t="s">
        <v>1745</v>
      </c>
      <c r="D1056" s="247"/>
      <c r="E1056" s="85">
        <v>113636</v>
      </c>
      <c r="F1056" s="178">
        <v>112727</v>
      </c>
      <c r="G1056" s="125">
        <f t="shared" si="35"/>
        <v>0.00806372918644158</v>
      </c>
      <c r="H1056" s="241"/>
      <c r="I1056" s="173"/>
    </row>
    <row r="1057" spans="1:9" ht="16.5">
      <c r="A1057" s="3">
        <f>IF(F1057="","",COUNTA($F$1003:F1057))</f>
        <v>51</v>
      </c>
      <c r="B1057" s="58" t="s">
        <v>428</v>
      </c>
      <c r="C1057" s="21" t="s">
        <v>1745</v>
      </c>
      <c r="D1057" s="247"/>
      <c r="E1057" s="85">
        <v>119091</v>
      </c>
      <c r="F1057" s="178">
        <v>120909</v>
      </c>
      <c r="G1057" s="125">
        <f t="shared" si="35"/>
        <v>-0.015036101530903406</v>
      </c>
      <c r="H1057" s="241"/>
      <c r="I1057" s="173"/>
    </row>
    <row r="1058" spans="1:9" ht="16.5">
      <c r="A1058" s="3">
        <f>IF(F1058="","",COUNTA($F$1003:F1058))</f>
        <v>52</v>
      </c>
      <c r="B1058" s="58" t="s">
        <v>433</v>
      </c>
      <c r="C1058" s="21" t="s">
        <v>1745</v>
      </c>
      <c r="D1058" s="247"/>
      <c r="E1058" s="85">
        <v>126364</v>
      </c>
      <c r="F1058" s="178">
        <v>129091</v>
      </c>
      <c r="G1058" s="125">
        <f t="shared" si="35"/>
        <v>-0.021124633010821823</v>
      </c>
      <c r="H1058" s="241"/>
      <c r="I1058" s="173"/>
    </row>
    <row r="1059" spans="1:9" ht="16.5">
      <c r="A1059" s="3">
        <f>IF(F1059="","",COUNTA($F$1003:F1059))</f>
        <v>53</v>
      </c>
      <c r="B1059" s="58" t="s">
        <v>1476</v>
      </c>
      <c r="C1059" s="21" t="s">
        <v>1745</v>
      </c>
      <c r="D1059" s="247"/>
      <c r="E1059" s="85">
        <v>130909</v>
      </c>
      <c r="F1059" s="178">
        <v>133636</v>
      </c>
      <c r="G1059" s="125">
        <f t="shared" si="35"/>
        <v>-0.02040617797599449</v>
      </c>
      <c r="H1059" s="241"/>
      <c r="I1059" s="173"/>
    </row>
    <row r="1060" spans="1:9" ht="16.5">
      <c r="A1060" s="3">
        <f>IF(F1060="","",COUNTA($F$1003:F1060))</f>
        <v>54</v>
      </c>
      <c r="B1060" s="58" t="s">
        <v>434</v>
      </c>
      <c r="C1060" s="21" t="s">
        <v>1745</v>
      </c>
      <c r="D1060" s="247" t="s">
        <v>435</v>
      </c>
      <c r="E1060" s="85">
        <v>67273</v>
      </c>
      <c r="F1060" s="178">
        <v>65455</v>
      </c>
      <c r="G1060" s="125">
        <f t="shared" si="35"/>
        <v>0.027774807119395003</v>
      </c>
      <c r="H1060" s="241"/>
      <c r="I1060" s="173"/>
    </row>
    <row r="1061" spans="1:9" ht="16.5">
      <c r="A1061" s="3">
        <f>IF(F1061="","",COUNTA($F$1003:F1061))</f>
        <v>55</v>
      </c>
      <c r="B1061" s="58" t="s">
        <v>430</v>
      </c>
      <c r="C1061" s="21" t="s">
        <v>1745</v>
      </c>
      <c r="D1061" s="247"/>
      <c r="E1061" s="85">
        <v>71818</v>
      </c>
      <c r="F1061" s="178">
        <v>72727</v>
      </c>
      <c r="G1061" s="125">
        <f t="shared" si="35"/>
        <v>-0.012498796870488264</v>
      </c>
      <c r="H1061" s="241"/>
      <c r="I1061" s="173"/>
    </row>
    <row r="1062" spans="1:9" ht="16.5">
      <c r="A1062" s="3">
        <f>IF(F1062="","",COUNTA($F$1003:F1062))</f>
        <v>56</v>
      </c>
      <c r="B1062" s="58" t="s">
        <v>432</v>
      </c>
      <c r="C1062" s="21" t="s">
        <v>1745</v>
      </c>
      <c r="D1062" s="247"/>
      <c r="E1062" s="85">
        <v>79091</v>
      </c>
      <c r="F1062" s="178">
        <v>80909</v>
      </c>
      <c r="G1062" s="125">
        <f t="shared" si="35"/>
        <v>-0.022469688168188954</v>
      </c>
      <c r="H1062" s="241"/>
      <c r="I1062" s="173"/>
    </row>
    <row r="1063" spans="1:9" ht="16.5">
      <c r="A1063" s="3">
        <f>IF(F1063="","",COUNTA($F$1003:F1063))</f>
        <v>57</v>
      </c>
      <c r="B1063" s="58" t="s">
        <v>428</v>
      </c>
      <c r="C1063" s="21" t="s">
        <v>1745</v>
      </c>
      <c r="D1063" s="247"/>
      <c r="E1063" s="85">
        <v>90000</v>
      </c>
      <c r="F1063" s="178">
        <v>90000</v>
      </c>
      <c r="G1063" s="125">
        <f t="shared" si="35"/>
        <v>0</v>
      </c>
      <c r="H1063" s="241"/>
      <c r="I1063" s="173"/>
    </row>
    <row r="1064" spans="1:9" ht="16.5">
      <c r="A1064" s="3">
        <f>IF(F1064="","",COUNTA($F$1003:F1064))</f>
        <v>58</v>
      </c>
      <c r="B1064" s="58" t="s">
        <v>1476</v>
      </c>
      <c r="C1064" s="21" t="s">
        <v>1745</v>
      </c>
      <c r="D1064" s="247"/>
      <c r="E1064" s="85">
        <v>113636</v>
      </c>
      <c r="F1064" s="178">
        <v>113636</v>
      </c>
      <c r="G1064" s="125">
        <f t="shared" si="35"/>
        <v>0</v>
      </c>
      <c r="H1064" s="241"/>
      <c r="I1064" s="173"/>
    </row>
    <row r="1065" spans="1:9" ht="16.5">
      <c r="A1065" s="3">
        <f>IF(F1065="","",COUNTA($F$1003:F1065))</f>
        <v>59</v>
      </c>
      <c r="B1065" s="58" t="s">
        <v>428</v>
      </c>
      <c r="C1065" s="21" t="s">
        <v>1745</v>
      </c>
      <c r="D1065" s="247" t="s">
        <v>1754</v>
      </c>
      <c r="E1065" s="85">
        <v>113636</v>
      </c>
      <c r="F1065" s="178">
        <v>116364</v>
      </c>
      <c r="G1065" s="125">
        <f t="shared" si="35"/>
        <v>-0.02344367673851019</v>
      </c>
      <c r="H1065" s="241"/>
      <c r="I1065" s="173"/>
    </row>
    <row r="1066" spans="1:9" ht="16.5">
      <c r="A1066" s="3">
        <f>IF(F1066="","",COUNTA($F$1003:F1066))</f>
        <v>60</v>
      </c>
      <c r="B1066" s="58" t="s">
        <v>1476</v>
      </c>
      <c r="C1066" s="21" t="s">
        <v>1745</v>
      </c>
      <c r="D1066" s="247"/>
      <c r="E1066" s="85">
        <v>122727</v>
      </c>
      <c r="F1066" s="178">
        <v>138182</v>
      </c>
      <c r="G1066" s="125">
        <f t="shared" si="35"/>
        <v>-0.11184524757204267</v>
      </c>
      <c r="H1066" s="241"/>
      <c r="I1066" s="173"/>
    </row>
    <row r="1067" spans="1:9" ht="16.5">
      <c r="A1067" s="3">
        <f>IF(F1067="","",COUNTA($F$1003:F1067))</f>
        <v>61</v>
      </c>
      <c r="B1067" s="58" t="s">
        <v>427</v>
      </c>
      <c r="C1067" s="21" t="s">
        <v>1745</v>
      </c>
      <c r="D1067" s="247"/>
      <c r="E1067" s="85">
        <v>135455</v>
      </c>
      <c r="F1067" s="178">
        <v>151818</v>
      </c>
      <c r="G1067" s="125">
        <f t="shared" si="35"/>
        <v>-0.10778036859924384</v>
      </c>
      <c r="H1067" s="241"/>
      <c r="I1067" s="173"/>
    </row>
    <row r="1068" spans="1:9" ht="49.5">
      <c r="A1068" s="3">
        <f>IF(F1068="","",COUNTA($F$1003:F1068))</f>
        <v>62</v>
      </c>
      <c r="B1068" s="58" t="s">
        <v>430</v>
      </c>
      <c r="C1068" s="21" t="s">
        <v>1745</v>
      </c>
      <c r="D1068" s="57" t="s">
        <v>436</v>
      </c>
      <c r="E1068" s="85">
        <v>83636</v>
      </c>
      <c r="F1068" s="178">
        <v>86364</v>
      </c>
      <c r="G1068" s="125">
        <f t="shared" si="35"/>
        <v>-0.03158723542216664</v>
      </c>
      <c r="H1068" s="241"/>
      <c r="I1068" s="173"/>
    </row>
    <row r="1069" spans="1:9" ht="51.75">
      <c r="A1069" s="3">
        <f>IF(F1069="","",COUNTA($F$1003:F1069))</f>
      </c>
      <c r="B1069" s="31" t="s">
        <v>1752</v>
      </c>
      <c r="C1069" s="20"/>
      <c r="E1069" s="85"/>
      <c r="F1069" s="178"/>
      <c r="G1069" s="125"/>
      <c r="H1069" s="241"/>
      <c r="I1069" s="173"/>
    </row>
    <row r="1070" spans="1:9" ht="16.5">
      <c r="A1070" s="3">
        <f>IF(F1070="","",COUNTA($F$1003:F1070))</f>
        <v>63</v>
      </c>
      <c r="B1070" s="22" t="s">
        <v>1744</v>
      </c>
      <c r="C1070" s="21" t="s">
        <v>1745</v>
      </c>
      <c r="D1070" s="243" t="s">
        <v>1756</v>
      </c>
      <c r="E1070" s="85">
        <v>160000</v>
      </c>
      <c r="F1070" s="178">
        <v>158182</v>
      </c>
      <c r="G1070" s="125">
        <f t="shared" si="35"/>
        <v>0.011493090237827313</v>
      </c>
      <c r="H1070" s="241"/>
      <c r="I1070" s="173"/>
    </row>
    <row r="1071" spans="1:9" ht="16.5">
      <c r="A1071" s="3">
        <f>IF(F1071="","",COUNTA($F$1003:F1071))</f>
        <v>64</v>
      </c>
      <c r="B1071" s="22" t="s">
        <v>1746</v>
      </c>
      <c r="C1071" s="21" t="s">
        <v>1745</v>
      </c>
      <c r="D1071" s="243"/>
      <c r="E1071" s="85">
        <v>170909</v>
      </c>
      <c r="F1071" s="178">
        <v>172727</v>
      </c>
      <c r="G1071" s="125">
        <f t="shared" si="35"/>
        <v>-0.010525279776757542</v>
      </c>
      <c r="H1071" s="241"/>
      <c r="I1071" s="173"/>
    </row>
    <row r="1072" spans="1:9" ht="16.5">
      <c r="A1072" s="3">
        <f>IF(F1072="","",COUNTA($F$1003:F1072))</f>
        <v>65</v>
      </c>
      <c r="B1072" s="22" t="s">
        <v>1747</v>
      </c>
      <c r="C1072" s="21" t="s">
        <v>1745</v>
      </c>
      <c r="D1072" s="243"/>
      <c r="E1072" s="85">
        <v>197273</v>
      </c>
      <c r="F1072" s="178">
        <v>193636</v>
      </c>
      <c r="G1072" s="125">
        <f t="shared" si="35"/>
        <v>0.018782664380590387</v>
      </c>
      <c r="H1072" s="241"/>
      <c r="I1072" s="173"/>
    </row>
    <row r="1073" spans="1:9" ht="16.5">
      <c r="A1073" s="3">
        <f>IF(F1073="","",COUNTA($F$1003:F1073))</f>
        <v>66</v>
      </c>
      <c r="B1073" s="22" t="s">
        <v>1749</v>
      </c>
      <c r="C1073" s="21" t="s">
        <v>1745</v>
      </c>
      <c r="D1073" s="243" t="s">
        <v>1757</v>
      </c>
      <c r="E1073" s="85">
        <v>92727</v>
      </c>
      <c r="F1073" s="178">
        <v>92727</v>
      </c>
      <c r="G1073" s="125">
        <f t="shared" si="35"/>
        <v>0</v>
      </c>
      <c r="H1073" s="241"/>
      <c r="I1073" s="173"/>
    </row>
    <row r="1074" spans="1:9" ht="16.5">
      <c r="A1074" s="3">
        <f>IF(F1074="","",COUNTA($F$1003:F1074))</f>
        <v>67</v>
      </c>
      <c r="B1074" s="22" t="s">
        <v>1750</v>
      </c>
      <c r="C1074" s="21" t="s">
        <v>1745</v>
      </c>
      <c r="D1074" s="243"/>
      <c r="E1074" s="85">
        <v>109091</v>
      </c>
      <c r="F1074" s="178">
        <v>108182</v>
      </c>
      <c r="G1074" s="125">
        <f t="shared" si="35"/>
        <v>0.008402506886543048</v>
      </c>
      <c r="H1074" s="241"/>
      <c r="I1074" s="173"/>
    </row>
    <row r="1075" spans="1:9" ht="16.5">
      <c r="A1075" s="3">
        <f>IF(F1075="","",COUNTA($F$1003:F1075))</f>
        <v>68</v>
      </c>
      <c r="B1075" s="22" t="s">
        <v>1744</v>
      </c>
      <c r="C1075" s="21" t="s">
        <v>1745</v>
      </c>
      <c r="D1075" s="243"/>
      <c r="E1075" s="85">
        <v>113636</v>
      </c>
      <c r="F1075" s="178">
        <v>116364</v>
      </c>
      <c r="G1075" s="125">
        <f t="shared" si="35"/>
        <v>-0.02344367673851019</v>
      </c>
      <c r="H1075" s="241"/>
      <c r="I1075" s="173"/>
    </row>
    <row r="1076" spans="1:9" ht="16.5">
      <c r="A1076" s="3">
        <f>IF(F1076="","",COUNTA($F$1003:F1076))</f>
        <v>69</v>
      </c>
      <c r="B1076" s="22" t="s">
        <v>1751</v>
      </c>
      <c r="C1076" s="21" t="s">
        <v>1745</v>
      </c>
      <c r="D1076" s="243"/>
      <c r="E1076" s="85">
        <v>120909</v>
      </c>
      <c r="F1076" s="178">
        <v>123636</v>
      </c>
      <c r="G1076" s="125">
        <f t="shared" si="35"/>
        <v>-0.02205668251965447</v>
      </c>
      <c r="H1076" s="241"/>
      <c r="I1076" s="173"/>
    </row>
    <row r="1077" spans="1:9" ht="16.5">
      <c r="A1077" s="3">
        <f>IF(F1077="","",COUNTA($F$1003:F1077))</f>
        <v>70</v>
      </c>
      <c r="B1077" s="22" t="s">
        <v>1748</v>
      </c>
      <c r="C1077" s="21" t="s">
        <v>1745</v>
      </c>
      <c r="D1077" s="243"/>
      <c r="E1077" s="85">
        <v>126364</v>
      </c>
      <c r="F1077" s="178">
        <v>129091</v>
      </c>
      <c r="G1077" s="125">
        <f t="shared" si="35"/>
        <v>-0.021124633010821823</v>
      </c>
      <c r="H1077" s="241"/>
      <c r="I1077" s="173"/>
    </row>
    <row r="1078" spans="1:9" ht="16.5">
      <c r="A1078" s="3">
        <f>IF(F1078="","",COUNTA($F$1003:F1078))</f>
        <v>71</v>
      </c>
      <c r="B1078" s="22" t="s">
        <v>1753</v>
      </c>
      <c r="C1078" s="21" t="s">
        <v>1745</v>
      </c>
      <c r="D1078" s="243" t="s">
        <v>1758</v>
      </c>
      <c r="E1078" s="85">
        <v>61818</v>
      </c>
      <c r="F1078" s="178">
        <v>60000</v>
      </c>
      <c r="G1078" s="125">
        <f t="shared" si="35"/>
        <v>0.0303</v>
      </c>
      <c r="H1078" s="241"/>
      <c r="I1078" s="173"/>
    </row>
    <row r="1079" spans="1:9" ht="16.5">
      <c r="A1079" s="3">
        <f>IF(F1079="","",COUNTA($F$1003:F1079))</f>
        <v>72</v>
      </c>
      <c r="B1079" s="22" t="s">
        <v>1749</v>
      </c>
      <c r="C1079" s="21" t="s">
        <v>1745</v>
      </c>
      <c r="D1079" s="243"/>
      <c r="E1079" s="85">
        <v>67273</v>
      </c>
      <c r="F1079" s="178">
        <v>68182</v>
      </c>
      <c r="G1079" s="125">
        <f t="shared" si="35"/>
        <v>-0.013331964448094804</v>
      </c>
      <c r="H1079" s="241"/>
      <c r="I1079" s="173"/>
    </row>
    <row r="1080" spans="1:9" ht="16.5">
      <c r="A1080" s="3">
        <f>IF(F1080="","",COUNTA($F$1003:F1080))</f>
        <v>73</v>
      </c>
      <c r="B1080" s="22" t="s">
        <v>1750</v>
      </c>
      <c r="C1080" s="21" t="s">
        <v>1745</v>
      </c>
      <c r="D1080" s="243"/>
      <c r="E1080" s="85">
        <v>73636</v>
      </c>
      <c r="F1080" s="178">
        <v>76364</v>
      </c>
      <c r="G1080" s="125">
        <f t="shared" si="35"/>
        <v>-0.0357236394112409</v>
      </c>
      <c r="H1080" s="241"/>
      <c r="I1080" s="173"/>
    </row>
    <row r="1081" spans="1:9" ht="16.5">
      <c r="A1081" s="3">
        <f>IF(F1081="","",COUNTA($F$1003:F1081))</f>
        <v>74</v>
      </c>
      <c r="B1081" s="22" t="s">
        <v>1744</v>
      </c>
      <c r="C1081" s="21" t="s">
        <v>1745</v>
      </c>
      <c r="D1081" s="243"/>
      <c r="E1081" s="85">
        <v>85455</v>
      </c>
      <c r="F1081" s="178">
        <v>85455</v>
      </c>
      <c r="G1081" s="125">
        <f t="shared" si="35"/>
        <v>0</v>
      </c>
      <c r="H1081" s="241"/>
      <c r="I1081" s="173"/>
    </row>
    <row r="1082" spans="1:9" ht="16.5">
      <c r="A1082" s="3">
        <f>IF(F1082="","",COUNTA($F$1003:F1082))</f>
        <v>75</v>
      </c>
      <c r="B1082" s="22" t="s">
        <v>1748</v>
      </c>
      <c r="C1082" s="21" t="s">
        <v>1745</v>
      </c>
      <c r="D1082" s="243"/>
      <c r="E1082" s="85">
        <v>109091</v>
      </c>
      <c r="F1082" s="178">
        <v>109091</v>
      </c>
      <c r="G1082" s="125">
        <f t="shared" si="35"/>
        <v>0</v>
      </c>
      <c r="H1082" s="241"/>
      <c r="I1082" s="173"/>
    </row>
    <row r="1083" spans="1:9" ht="16.5">
      <c r="A1083" s="3">
        <f>IF(F1083="","",COUNTA($F$1003:F1083))</f>
        <v>76</v>
      </c>
      <c r="B1083" s="22" t="s">
        <v>1744</v>
      </c>
      <c r="C1083" s="21" t="s">
        <v>1745</v>
      </c>
      <c r="D1083" s="243" t="s">
        <v>1754</v>
      </c>
      <c r="E1083" s="85">
        <v>109091</v>
      </c>
      <c r="F1083" s="178">
        <v>110909</v>
      </c>
      <c r="G1083" s="125">
        <f t="shared" si="35"/>
        <v>-0.016391816714603866</v>
      </c>
      <c r="H1083" s="241"/>
      <c r="I1083" s="173"/>
    </row>
    <row r="1084" spans="1:9" ht="16.5">
      <c r="A1084" s="3">
        <f>IF(F1084="","",COUNTA($F$1003:F1084))</f>
        <v>77</v>
      </c>
      <c r="B1084" s="22" t="s">
        <v>1748</v>
      </c>
      <c r="C1084" s="21" t="s">
        <v>1745</v>
      </c>
      <c r="D1084" s="243"/>
      <c r="E1084" s="85">
        <v>118182</v>
      </c>
      <c r="F1084" s="178">
        <v>132727</v>
      </c>
      <c r="G1084" s="125">
        <f t="shared" si="35"/>
        <v>-0.10958584161474304</v>
      </c>
      <c r="H1084" s="241"/>
      <c r="I1084" s="173"/>
    </row>
    <row r="1085" spans="1:9" ht="16.5">
      <c r="A1085" s="3">
        <f>IF(F1085="","",COUNTA($F$1003:F1085))</f>
        <v>78</v>
      </c>
      <c r="B1085" s="22" t="s">
        <v>1747</v>
      </c>
      <c r="C1085" s="21" t="s">
        <v>1745</v>
      </c>
      <c r="D1085" s="243"/>
      <c r="E1085" s="85">
        <v>130000</v>
      </c>
      <c r="F1085" s="178">
        <v>147273</v>
      </c>
      <c r="G1085" s="125">
        <f t="shared" si="35"/>
        <v>-0.11728558527360752</v>
      </c>
      <c r="H1085" s="241"/>
      <c r="I1085" s="173"/>
    </row>
    <row r="1086" spans="1:9" ht="49.5">
      <c r="A1086" s="3">
        <f>IF(F1086="","",COUNTA($F$1003:F1086))</f>
        <v>79</v>
      </c>
      <c r="B1086" s="22" t="s">
        <v>1749</v>
      </c>
      <c r="C1086" s="21" t="s">
        <v>1745</v>
      </c>
      <c r="D1086" s="43" t="s">
        <v>962</v>
      </c>
      <c r="E1086" s="85">
        <v>79091</v>
      </c>
      <c r="F1086" s="178">
        <v>80909</v>
      </c>
      <c r="G1086" s="125">
        <f t="shared" si="35"/>
        <v>-0.022469688168188954</v>
      </c>
      <c r="H1086" s="241"/>
      <c r="I1086" s="173"/>
    </row>
    <row r="1087" spans="1:8" ht="17.25" customHeight="1">
      <c r="A1087" s="3">
        <f>IF(F1087="","",COUNTA($F$1003:F1087))</f>
      </c>
      <c r="B1087" s="35" t="s">
        <v>1417</v>
      </c>
      <c r="E1087" s="16"/>
      <c r="F1087" s="16"/>
      <c r="G1087" s="125"/>
      <c r="H1087" s="240" t="s">
        <v>1204</v>
      </c>
    </row>
    <row r="1088" spans="1:8" ht="16.5">
      <c r="A1088" s="3">
        <f>IF(F1088="","",COUNTA($F$1003:F1088))</f>
        <v>80</v>
      </c>
      <c r="B1088" s="24" t="s">
        <v>1413</v>
      </c>
      <c r="C1088" s="21" t="s">
        <v>2793</v>
      </c>
      <c r="E1088" s="16">
        <v>110000</v>
      </c>
      <c r="F1088" s="16">
        <v>110000</v>
      </c>
      <c r="G1088" s="125">
        <f aca="true" t="shared" si="36" ref="G1088:G1130">(E1088-F1088)/E1088</f>
        <v>0</v>
      </c>
      <c r="H1088" s="241"/>
    </row>
    <row r="1089" spans="1:8" ht="16.5">
      <c r="A1089" s="3">
        <f>IF(F1089="","",COUNTA($F$1003:F1089))</f>
        <v>81</v>
      </c>
      <c r="B1089" s="24" t="s">
        <v>1414</v>
      </c>
      <c r="C1089" s="21" t="s">
        <v>2793</v>
      </c>
      <c r="E1089" s="16">
        <v>117000</v>
      </c>
      <c r="F1089" s="16">
        <v>117000</v>
      </c>
      <c r="G1089" s="125">
        <f t="shared" si="36"/>
        <v>0</v>
      </c>
      <c r="H1089" s="241"/>
    </row>
    <row r="1090" spans="1:8" ht="16.5">
      <c r="A1090" s="3">
        <f>IF(F1090="","",COUNTA($F$1003:F1090))</f>
        <v>82</v>
      </c>
      <c r="B1090" s="24" t="s">
        <v>1415</v>
      </c>
      <c r="C1090" s="21" t="s">
        <v>2793</v>
      </c>
      <c r="E1090" s="16">
        <v>127000</v>
      </c>
      <c r="F1090" s="16">
        <v>127000</v>
      </c>
      <c r="G1090" s="125">
        <f t="shared" si="36"/>
        <v>0</v>
      </c>
      <c r="H1090" s="241"/>
    </row>
    <row r="1091" spans="1:8" ht="16.5">
      <c r="A1091" s="3">
        <f>IF(F1091="","",COUNTA($F$1003:F1091))</f>
        <v>83</v>
      </c>
      <c r="B1091" s="24" t="s">
        <v>1416</v>
      </c>
      <c r="C1091" s="21" t="s">
        <v>2793</v>
      </c>
      <c r="E1091" s="16">
        <v>136000</v>
      </c>
      <c r="F1091" s="16">
        <v>136000</v>
      </c>
      <c r="G1091" s="125">
        <f t="shared" si="36"/>
        <v>0</v>
      </c>
      <c r="H1091" s="241"/>
    </row>
    <row r="1092" spans="1:8" ht="17.25">
      <c r="A1092" s="3">
        <f>IF(F1092="","",COUNTA($F$1003:F1092))</f>
      </c>
      <c r="B1092" s="35" t="s">
        <v>1418</v>
      </c>
      <c r="E1092" s="16"/>
      <c r="F1092" s="16"/>
      <c r="G1092" s="125"/>
      <c r="H1092" s="241"/>
    </row>
    <row r="1093" spans="1:8" ht="16.5">
      <c r="A1093" s="3">
        <f>IF(F1093="","",COUNTA($F$1003:F1093))</f>
        <v>84</v>
      </c>
      <c r="B1093" s="24" t="s">
        <v>1419</v>
      </c>
      <c r="C1093" s="21" t="s">
        <v>2793</v>
      </c>
      <c r="E1093" s="16">
        <v>85000</v>
      </c>
      <c r="F1093" s="16">
        <v>85000</v>
      </c>
      <c r="G1093" s="125">
        <f t="shared" si="36"/>
        <v>0</v>
      </c>
      <c r="H1093" s="241"/>
    </row>
    <row r="1094" spans="1:8" ht="16.5">
      <c r="A1094" s="3">
        <f>IF(F1094="","",COUNTA($F$1003:F1094))</f>
        <v>85</v>
      </c>
      <c r="B1094" s="24" t="s">
        <v>1420</v>
      </c>
      <c r="C1094" s="21" t="s">
        <v>2793</v>
      </c>
      <c r="E1094" s="16">
        <v>95000</v>
      </c>
      <c r="F1094" s="16">
        <v>95000</v>
      </c>
      <c r="G1094" s="125">
        <f t="shared" si="36"/>
        <v>0</v>
      </c>
      <c r="H1094" s="241"/>
    </row>
    <row r="1095" spans="1:7" ht="33">
      <c r="A1095" s="12" t="s">
        <v>11</v>
      </c>
      <c r="B1095" s="34" t="s">
        <v>2145</v>
      </c>
      <c r="G1095" s="125"/>
    </row>
    <row r="1096" spans="1:8" ht="17.25">
      <c r="A1096" s="12"/>
      <c r="B1096" s="31" t="s">
        <v>1563</v>
      </c>
      <c r="G1096" s="125"/>
      <c r="H1096" s="240" t="s">
        <v>1204</v>
      </c>
    </row>
    <row r="1097" spans="1:8" ht="16.5" customHeight="1">
      <c r="A1097" s="3">
        <f>IF(F1097="","",COUNTA($F$1097:F1097))</f>
        <v>1</v>
      </c>
      <c r="B1097" s="24" t="s">
        <v>1510</v>
      </c>
      <c r="C1097" s="21" t="s">
        <v>1040</v>
      </c>
      <c r="D1097" s="62" t="s">
        <v>1511</v>
      </c>
      <c r="E1097" s="16">
        <v>22900</v>
      </c>
      <c r="F1097" s="16">
        <v>22900</v>
      </c>
      <c r="G1097" s="125">
        <f t="shared" si="36"/>
        <v>0</v>
      </c>
      <c r="H1097" s="241"/>
    </row>
    <row r="1098" spans="1:8" ht="16.5">
      <c r="A1098" s="3">
        <f>IF(F1098="","",COUNTA($F$1097:F1098))</f>
        <v>2</v>
      </c>
      <c r="B1098" s="24" t="s">
        <v>1512</v>
      </c>
      <c r="C1098" s="21" t="s">
        <v>1040</v>
      </c>
      <c r="D1098" s="62" t="s">
        <v>1513</v>
      </c>
      <c r="E1098" s="16">
        <v>22900</v>
      </c>
      <c r="F1098" s="16">
        <v>22900</v>
      </c>
      <c r="G1098" s="125">
        <f t="shared" si="36"/>
        <v>0</v>
      </c>
      <c r="H1098" s="241"/>
    </row>
    <row r="1099" spans="1:8" ht="16.5">
      <c r="A1099" s="3">
        <f>IF(F1099="","",COUNTA($F$1097:F1099))</f>
        <v>3</v>
      </c>
      <c r="B1099" s="24" t="s">
        <v>1514</v>
      </c>
      <c r="C1099" s="21" t="s">
        <v>1040</v>
      </c>
      <c r="D1099" s="62" t="s">
        <v>1515</v>
      </c>
      <c r="E1099" s="16">
        <v>22900</v>
      </c>
      <c r="F1099" s="16">
        <v>22900</v>
      </c>
      <c r="G1099" s="125">
        <f t="shared" si="36"/>
        <v>0</v>
      </c>
      <c r="H1099" s="241"/>
    </row>
    <row r="1100" spans="1:8" ht="16.5">
      <c r="A1100" s="3">
        <f>IF(F1100="","",COUNTA($F$1097:F1100))</f>
        <v>4</v>
      </c>
      <c r="B1100" s="24" t="s">
        <v>1516</v>
      </c>
      <c r="C1100" s="21" t="s">
        <v>1040</v>
      </c>
      <c r="D1100" s="62" t="s">
        <v>1517</v>
      </c>
      <c r="E1100" s="16">
        <v>22900</v>
      </c>
      <c r="F1100" s="16">
        <v>22900</v>
      </c>
      <c r="G1100" s="125">
        <f t="shared" si="36"/>
        <v>0</v>
      </c>
      <c r="H1100" s="241"/>
    </row>
    <row r="1101" spans="1:8" ht="16.5">
      <c r="A1101" s="3">
        <f>IF(F1101="","",COUNTA($F$1097:F1101))</f>
        <v>5</v>
      </c>
      <c r="B1101" s="24" t="s">
        <v>1518</v>
      </c>
      <c r="C1101" s="21" t="s">
        <v>1040</v>
      </c>
      <c r="D1101" s="62" t="s">
        <v>1519</v>
      </c>
      <c r="E1101" s="16">
        <v>22900</v>
      </c>
      <c r="F1101" s="16">
        <v>22900</v>
      </c>
      <c r="G1101" s="125">
        <f t="shared" si="36"/>
        <v>0</v>
      </c>
      <c r="H1101" s="241"/>
    </row>
    <row r="1102" spans="1:8" ht="16.5">
      <c r="A1102" s="3">
        <f>IF(F1102="","",COUNTA($F$1097:F1102))</f>
        <v>6</v>
      </c>
      <c r="B1102" s="24" t="s">
        <v>1520</v>
      </c>
      <c r="C1102" s="21" t="s">
        <v>1040</v>
      </c>
      <c r="D1102" s="62" t="s">
        <v>1521</v>
      </c>
      <c r="E1102" s="16">
        <v>22900</v>
      </c>
      <c r="F1102" s="16">
        <v>22900</v>
      </c>
      <c r="G1102" s="125">
        <f t="shared" si="36"/>
        <v>0</v>
      </c>
      <c r="H1102" s="241"/>
    </row>
    <row r="1103" spans="1:8" ht="16.5">
      <c r="A1103" s="3">
        <f>IF(F1103="","",COUNTA($F$1097:F1103))</f>
        <v>7</v>
      </c>
      <c r="B1103" s="24" t="s">
        <v>1522</v>
      </c>
      <c r="C1103" s="21" t="s">
        <v>1040</v>
      </c>
      <c r="D1103" s="62" t="s">
        <v>1523</v>
      </c>
      <c r="E1103" s="16">
        <v>22900</v>
      </c>
      <c r="F1103" s="16">
        <v>22900</v>
      </c>
      <c r="G1103" s="125">
        <f t="shared" si="36"/>
        <v>0</v>
      </c>
      <c r="H1103" s="241"/>
    </row>
    <row r="1104" spans="1:8" ht="16.5">
      <c r="A1104" s="3">
        <f>IF(F1104="","",COUNTA($F$1097:F1104))</f>
        <v>8</v>
      </c>
      <c r="B1104" s="24" t="s">
        <v>1524</v>
      </c>
      <c r="C1104" s="21" t="s">
        <v>1040</v>
      </c>
      <c r="D1104" s="62" t="s">
        <v>1525</v>
      </c>
      <c r="E1104" s="16">
        <v>22900</v>
      </c>
      <c r="F1104" s="16">
        <v>22900</v>
      </c>
      <c r="G1104" s="125">
        <f t="shared" si="36"/>
        <v>0</v>
      </c>
      <c r="H1104" s="241"/>
    </row>
    <row r="1105" spans="1:8" ht="16.5">
      <c r="A1105" s="3">
        <f>IF(F1105="","",COUNTA($F$1097:F1105))</f>
        <v>9</v>
      </c>
      <c r="B1105" s="24" t="s">
        <v>1526</v>
      </c>
      <c r="C1105" s="21" t="s">
        <v>1040</v>
      </c>
      <c r="D1105" s="62" t="s">
        <v>1527</v>
      </c>
      <c r="E1105" s="16">
        <v>22900</v>
      </c>
      <c r="F1105" s="16">
        <v>22900</v>
      </c>
      <c r="G1105" s="125">
        <f t="shared" si="36"/>
        <v>0</v>
      </c>
      <c r="H1105" s="241"/>
    </row>
    <row r="1106" spans="1:8" ht="16.5">
      <c r="A1106" s="3">
        <f>IF(F1106="","",COUNTA($F$1097:F1106))</f>
        <v>10</v>
      </c>
      <c r="B1106" s="24" t="s">
        <v>71</v>
      </c>
      <c r="C1106" s="21" t="s">
        <v>1040</v>
      </c>
      <c r="D1106" s="62" t="s">
        <v>1528</v>
      </c>
      <c r="E1106" s="16">
        <v>22900</v>
      </c>
      <c r="F1106" s="16">
        <v>22900</v>
      </c>
      <c r="G1106" s="125">
        <f t="shared" si="36"/>
        <v>0</v>
      </c>
      <c r="H1106" s="241"/>
    </row>
    <row r="1107" spans="1:8" ht="16.5">
      <c r="A1107" s="3">
        <f>IF(F1107="","",COUNTA($F$1097:F1107))</f>
        <v>11</v>
      </c>
      <c r="B1107" s="24" t="s">
        <v>71</v>
      </c>
      <c r="C1107" s="21" t="s">
        <v>1040</v>
      </c>
      <c r="D1107" s="62" t="s">
        <v>1529</v>
      </c>
      <c r="E1107" s="16">
        <v>22900</v>
      </c>
      <c r="F1107" s="16">
        <v>22900</v>
      </c>
      <c r="G1107" s="125">
        <f t="shared" si="36"/>
        <v>0</v>
      </c>
      <c r="H1107" s="241"/>
    </row>
    <row r="1108" spans="1:8" ht="16.5">
      <c r="A1108" s="3">
        <f>IF(F1108="","",COUNTA($F$1097:F1108))</f>
        <v>12</v>
      </c>
      <c r="B1108" s="24" t="s">
        <v>1530</v>
      </c>
      <c r="C1108" s="21" t="s">
        <v>1040</v>
      </c>
      <c r="D1108" s="62" t="s">
        <v>1531</v>
      </c>
      <c r="E1108" s="16">
        <v>22900</v>
      </c>
      <c r="F1108" s="16">
        <v>22900</v>
      </c>
      <c r="G1108" s="125">
        <f t="shared" si="36"/>
        <v>0</v>
      </c>
      <c r="H1108" s="241"/>
    </row>
    <row r="1109" spans="1:8" ht="16.5">
      <c r="A1109" s="3">
        <f>IF(F1109="","",COUNTA($F$1097:F1109))</f>
        <v>13</v>
      </c>
      <c r="B1109" s="24" t="s">
        <v>1530</v>
      </c>
      <c r="C1109" s="21" t="s">
        <v>1040</v>
      </c>
      <c r="D1109" s="62" t="s">
        <v>1532</v>
      </c>
      <c r="E1109" s="16">
        <v>22900</v>
      </c>
      <c r="F1109" s="16">
        <v>22900</v>
      </c>
      <c r="G1109" s="125">
        <f t="shared" si="36"/>
        <v>0</v>
      </c>
      <c r="H1109" s="241"/>
    </row>
    <row r="1110" spans="1:8" ht="16.5">
      <c r="A1110" s="3">
        <f>IF(F1110="","",COUNTA($F$1097:F1110))</f>
        <v>14</v>
      </c>
      <c r="B1110" s="24" t="s">
        <v>1533</v>
      </c>
      <c r="C1110" s="21" t="s">
        <v>1040</v>
      </c>
      <c r="D1110" s="62" t="s">
        <v>1534</v>
      </c>
      <c r="E1110" s="16">
        <v>22900</v>
      </c>
      <c r="F1110" s="16">
        <v>22900</v>
      </c>
      <c r="G1110" s="125">
        <f t="shared" si="36"/>
        <v>0</v>
      </c>
      <c r="H1110" s="241"/>
    </row>
    <row r="1111" spans="1:8" ht="16.5">
      <c r="A1111" s="3">
        <f>IF(F1111="","",COUNTA($F$1097:F1111))</f>
        <v>15</v>
      </c>
      <c r="B1111" s="24" t="s">
        <v>1533</v>
      </c>
      <c r="C1111" s="21" t="s">
        <v>1040</v>
      </c>
      <c r="D1111" s="62" t="s">
        <v>1535</v>
      </c>
      <c r="E1111" s="16">
        <v>22900</v>
      </c>
      <c r="F1111" s="16">
        <v>22900</v>
      </c>
      <c r="G1111" s="125">
        <f t="shared" si="36"/>
        <v>0</v>
      </c>
      <c r="H1111" s="241"/>
    </row>
    <row r="1112" spans="1:8" ht="16.5">
      <c r="A1112" s="3">
        <f>IF(F1112="","",COUNTA($F$1097:F1112))</f>
        <v>16</v>
      </c>
      <c r="B1112" s="24" t="s">
        <v>1533</v>
      </c>
      <c r="C1112" s="21" t="s">
        <v>1040</v>
      </c>
      <c r="D1112" s="62" t="s">
        <v>1536</v>
      </c>
      <c r="E1112" s="16">
        <v>22900</v>
      </c>
      <c r="F1112" s="16">
        <v>22900</v>
      </c>
      <c r="G1112" s="125">
        <f t="shared" si="36"/>
        <v>0</v>
      </c>
      <c r="H1112" s="241"/>
    </row>
    <row r="1113" spans="1:8" ht="16.5">
      <c r="A1113" s="3">
        <f>IF(F1113="","",COUNTA($F$1097:F1113))</f>
        <v>17</v>
      </c>
      <c r="B1113" s="24" t="s">
        <v>1533</v>
      </c>
      <c r="C1113" s="21" t="s">
        <v>1040</v>
      </c>
      <c r="D1113" s="62" t="s">
        <v>1537</v>
      </c>
      <c r="E1113" s="16">
        <v>22900</v>
      </c>
      <c r="F1113" s="16">
        <v>22900</v>
      </c>
      <c r="G1113" s="125">
        <f t="shared" si="36"/>
        <v>0</v>
      </c>
      <c r="H1113" s="241"/>
    </row>
    <row r="1114" spans="1:8" ht="16.5">
      <c r="A1114" s="3">
        <f>IF(F1114="","",COUNTA($F$1097:F1114))</f>
        <v>18</v>
      </c>
      <c r="B1114" s="24" t="s">
        <v>1538</v>
      </c>
      <c r="C1114" s="21" t="s">
        <v>1040</v>
      </c>
      <c r="D1114" s="62" t="s">
        <v>1539</v>
      </c>
      <c r="E1114" s="16">
        <v>22900</v>
      </c>
      <c r="F1114" s="16">
        <v>22900</v>
      </c>
      <c r="G1114" s="125">
        <f t="shared" si="36"/>
        <v>0</v>
      </c>
      <c r="H1114" s="241"/>
    </row>
    <row r="1115" spans="1:8" ht="16.5">
      <c r="A1115" s="3">
        <f>IF(F1115="","",COUNTA($F$1097:F1115))</f>
        <v>19</v>
      </c>
      <c r="B1115" s="24" t="s">
        <v>1538</v>
      </c>
      <c r="C1115" s="21" t="s">
        <v>1040</v>
      </c>
      <c r="D1115" s="62" t="s">
        <v>1540</v>
      </c>
      <c r="E1115" s="16">
        <v>22900</v>
      </c>
      <c r="F1115" s="16">
        <v>22900</v>
      </c>
      <c r="G1115" s="125">
        <f t="shared" si="36"/>
        <v>0</v>
      </c>
      <c r="H1115" s="241"/>
    </row>
    <row r="1116" spans="1:8" ht="16.5">
      <c r="A1116" s="3">
        <f>IF(F1116="","",COUNTA($F$1097:F1116))</f>
        <v>20</v>
      </c>
      <c r="B1116" s="24" t="s">
        <v>1538</v>
      </c>
      <c r="C1116" s="21" t="s">
        <v>1040</v>
      </c>
      <c r="D1116" s="62" t="s">
        <v>1541</v>
      </c>
      <c r="E1116" s="16">
        <v>22900</v>
      </c>
      <c r="F1116" s="16">
        <v>22900</v>
      </c>
      <c r="G1116" s="125">
        <f t="shared" si="36"/>
        <v>0</v>
      </c>
      <c r="H1116" s="241"/>
    </row>
    <row r="1117" spans="1:8" ht="16.5">
      <c r="A1117" s="3">
        <f>IF(F1117="","",COUNTA($F$1097:F1117))</f>
        <v>21</v>
      </c>
      <c r="B1117" s="24" t="s">
        <v>1538</v>
      </c>
      <c r="C1117" s="21" t="s">
        <v>1040</v>
      </c>
      <c r="D1117" s="62" t="s">
        <v>1542</v>
      </c>
      <c r="E1117" s="16">
        <v>22900</v>
      </c>
      <c r="F1117" s="16">
        <v>22900</v>
      </c>
      <c r="G1117" s="125">
        <f t="shared" si="36"/>
        <v>0</v>
      </c>
      <c r="H1117" s="241"/>
    </row>
    <row r="1118" spans="1:8" ht="16.5">
      <c r="A1118" s="3">
        <f>IF(F1118="","",COUNTA($F$1097:F1118))</f>
        <v>22</v>
      </c>
      <c r="B1118" s="24" t="s">
        <v>1543</v>
      </c>
      <c r="C1118" s="21" t="s">
        <v>1040</v>
      </c>
      <c r="D1118" s="62" t="s">
        <v>1544</v>
      </c>
      <c r="E1118" s="16">
        <v>22900</v>
      </c>
      <c r="F1118" s="16">
        <v>22900</v>
      </c>
      <c r="G1118" s="125">
        <f t="shared" si="36"/>
        <v>0</v>
      </c>
      <c r="H1118" s="241"/>
    </row>
    <row r="1119" spans="1:8" ht="16.5">
      <c r="A1119" s="3">
        <f>IF(F1119="","",COUNTA($F$1097:F1119))</f>
        <v>23</v>
      </c>
      <c r="B1119" s="24" t="s">
        <v>1543</v>
      </c>
      <c r="C1119" s="21" t="s">
        <v>1040</v>
      </c>
      <c r="D1119" s="62" t="s">
        <v>1545</v>
      </c>
      <c r="E1119" s="16">
        <v>22900</v>
      </c>
      <c r="F1119" s="16">
        <v>22900</v>
      </c>
      <c r="G1119" s="125">
        <f t="shared" si="36"/>
        <v>0</v>
      </c>
      <c r="H1119" s="241"/>
    </row>
    <row r="1120" spans="1:8" ht="16.5">
      <c r="A1120" s="3">
        <f>IF(F1120="","",COUNTA($F$1097:F1120))</f>
        <v>24</v>
      </c>
      <c r="B1120" s="24" t="s">
        <v>1543</v>
      </c>
      <c r="C1120" s="21" t="s">
        <v>1040</v>
      </c>
      <c r="D1120" s="62" t="s">
        <v>1546</v>
      </c>
      <c r="E1120" s="16">
        <v>22900</v>
      </c>
      <c r="F1120" s="16">
        <v>22900</v>
      </c>
      <c r="G1120" s="125">
        <f t="shared" si="36"/>
        <v>0</v>
      </c>
      <c r="H1120" s="241"/>
    </row>
    <row r="1121" spans="1:8" ht="16.5">
      <c r="A1121" s="3">
        <f>IF(F1121="","",COUNTA($F$1097:F1121))</f>
        <v>25</v>
      </c>
      <c r="B1121" s="24" t="s">
        <v>1547</v>
      </c>
      <c r="C1121" s="21" t="s">
        <v>1040</v>
      </c>
      <c r="D1121" s="62" t="s">
        <v>1548</v>
      </c>
      <c r="E1121" s="16">
        <v>22900</v>
      </c>
      <c r="F1121" s="16">
        <v>22900</v>
      </c>
      <c r="G1121" s="125">
        <f t="shared" si="36"/>
        <v>0</v>
      </c>
      <c r="H1121" s="241"/>
    </row>
    <row r="1122" spans="1:8" ht="16.5">
      <c r="A1122" s="3">
        <f>IF(F1122="","",COUNTA($F$1097:F1122))</f>
        <v>26</v>
      </c>
      <c r="B1122" s="24" t="s">
        <v>1549</v>
      </c>
      <c r="C1122" s="21" t="s">
        <v>1040</v>
      </c>
      <c r="D1122" s="62" t="s">
        <v>1550</v>
      </c>
      <c r="E1122" s="16">
        <v>22900</v>
      </c>
      <c r="F1122" s="16">
        <v>22900</v>
      </c>
      <c r="G1122" s="125">
        <f t="shared" si="36"/>
        <v>0</v>
      </c>
      <c r="H1122" s="241"/>
    </row>
    <row r="1123" spans="1:8" ht="16.5">
      <c r="A1123" s="3">
        <f>IF(F1123="","",COUNTA($F$1097:F1123))</f>
        <v>27</v>
      </c>
      <c r="B1123" s="24" t="s">
        <v>1551</v>
      </c>
      <c r="C1123" s="21" t="s">
        <v>1040</v>
      </c>
      <c r="D1123" s="62" t="s">
        <v>1550</v>
      </c>
      <c r="E1123" s="16">
        <v>22900</v>
      </c>
      <c r="F1123" s="16">
        <v>22900</v>
      </c>
      <c r="G1123" s="125">
        <f t="shared" si="36"/>
        <v>0</v>
      </c>
      <c r="H1123" s="241"/>
    </row>
    <row r="1124" spans="1:8" ht="16.5">
      <c r="A1124" s="3">
        <f>IF(F1124="","",COUNTA($F$1097:F1124))</f>
        <v>28</v>
      </c>
      <c r="B1124" s="24" t="s">
        <v>1552</v>
      </c>
      <c r="C1124" s="21" t="s">
        <v>1040</v>
      </c>
      <c r="D1124" s="62" t="s">
        <v>1553</v>
      </c>
      <c r="E1124" s="16">
        <v>22900</v>
      </c>
      <c r="F1124" s="16">
        <v>22900</v>
      </c>
      <c r="G1124" s="125">
        <f t="shared" si="36"/>
        <v>0</v>
      </c>
      <c r="H1124" s="241"/>
    </row>
    <row r="1125" spans="1:8" ht="16.5">
      <c r="A1125" s="3">
        <f>IF(F1125="","",COUNTA($F$1097:F1125))</f>
        <v>29</v>
      </c>
      <c r="B1125" s="24" t="s">
        <v>1554</v>
      </c>
      <c r="C1125" s="21" t="s">
        <v>1040</v>
      </c>
      <c r="D1125" s="62" t="s">
        <v>1555</v>
      </c>
      <c r="E1125" s="16">
        <v>22900</v>
      </c>
      <c r="F1125" s="16">
        <v>22900</v>
      </c>
      <c r="G1125" s="125">
        <f t="shared" si="36"/>
        <v>0</v>
      </c>
      <c r="H1125" s="241"/>
    </row>
    <row r="1126" spans="1:8" ht="16.5">
      <c r="A1126" s="3">
        <f>IF(F1126="","",COUNTA($F$1097:F1126))</f>
        <v>30</v>
      </c>
      <c r="B1126" s="24" t="s">
        <v>1554</v>
      </c>
      <c r="C1126" s="21" t="s">
        <v>1040</v>
      </c>
      <c r="D1126" s="62" t="s">
        <v>1556</v>
      </c>
      <c r="E1126" s="16">
        <v>22900</v>
      </c>
      <c r="F1126" s="16">
        <v>22900</v>
      </c>
      <c r="G1126" s="125">
        <f t="shared" si="36"/>
        <v>0</v>
      </c>
      <c r="H1126" s="241"/>
    </row>
    <row r="1127" spans="1:8" ht="16.5">
      <c r="A1127" s="3">
        <f>IF(F1127="","",COUNTA($F$1097:F1127))</f>
        <v>31</v>
      </c>
      <c r="B1127" s="24" t="s">
        <v>1557</v>
      </c>
      <c r="C1127" s="21" t="s">
        <v>1040</v>
      </c>
      <c r="D1127" s="62" t="s">
        <v>1558</v>
      </c>
      <c r="E1127" s="16">
        <v>22900</v>
      </c>
      <c r="F1127" s="16">
        <v>22900</v>
      </c>
      <c r="G1127" s="125">
        <f t="shared" si="36"/>
        <v>0</v>
      </c>
      <c r="H1127" s="241"/>
    </row>
    <row r="1128" spans="1:8" ht="16.5">
      <c r="A1128" s="3">
        <f>IF(F1128="","",COUNTA($F$1097:F1128))</f>
        <v>32</v>
      </c>
      <c r="B1128" s="24" t="s">
        <v>1557</v>
      </c>
      <c r="C1128" s="21" t="s">
        <v>1040</v>
      </c>
      <c r="D1128" s="62" t="s">
        <v>1559</v>
      </c>
      <c r="E1128" s="16">
        <v>22900</v>
      </c>
      <c r="F1128" s="16">
        <v>22900</v>
      </c>
      <c r="G1128" s="125">
        <f t="shared" si="36"/>
        <v>0</v>
      </c>
      <c r="H1128" s="241"/>
    </row>
    <row r="1129" spans="1:8" ht="16.5">
      <c r="A1129" s="3">
        <f>IF(F1129="","",COUNTA($F$1097:F1129))</f>
        <v>33</v>
      </c>
      <c r="B1129" s="24" t="s">
        <v>1560</v>
      </c>
      <c r="C1129" s="21" t="s">
        <v>1040</v>
      </c>
      <c r="D1129" s="62" t="s">
        <v>1561</v>
      </c>
      <c r="E1129" s="16">
        <v>22900</v>
      </c>
      <c r="F1129" s="16">
        <v>22900</v>
      </c>
      <c r="G1129" s="125">
        <f t="shared" si="36"/>
        <v>0</v>
      </c>
      <c r="H1129" s="241"/>
    </row>
    <row r="1130" spans="1:8" ht="16.5">
      <c r="A1130" s="3">
        <f>IF(F1130="","",COUNTA($F$1097:F1130))</f>
        <v>34</v>
      </c>
      <c r="B1130" s="24" t="s">
        <v>1560</v>
      </c>
      <c r="C1130" s="21" t="s">
        <v>1040</v>
      </c>
      <c r="D1130" s="62" t="s">
        <v>1562</v>
      </c>
      <c r="E1130" s="16">
        <v>22900</v>
      </c>
      <c r="F1130" s="16">
        <v>22900</v>
      </c>
      <c r="G1130" s="125">
        <f t="shared" si="36"/>
        <v>0</v>
      </c>
      <c r="H1130" s="242"/>
    </row>
    <row r="1131" spans="1:8" ht="17.25" customHeight="1">
      <c r="A1131" s="3">
        <f>IF(F1131="","",COUNTA($F$1097:F1131))</f>
      </c>
      <c r="B1131" s="35" t="s">
        <v>1572</v>
      </c>
      <c r="E1131" s="16"/>
      <c r="F1131" s="16"/>
      <c r="G1131" s="125"/>
      <c r="H1131" s="240" t="s">
        <v>1203</v>
      </c>
    </row>
    <row r="1132" spans="1:8" ht="16.5">
      <c r="A1132" s="3">
        <f>IF(F1132="","",COUNTA($F$1097:F1132))</f>
        <v>35</v>
      </c>
      <c r="B1132" s="24" t="s">
        <v>1564</v>
      </c>
      <c r="C1132" s="21" t="s">
        <v>1448</v>
      </c>
      <c r="D1132" s="62" t="s">
        <v>1580</v>
      </c>
      <c r="E1132" s="285">
        <v>53000</v>
      </c>
      <c r="F1132" s="286">
        <v>51000</v>
      </c>
      <c r="G1132" s="125">
        <f aca="true" t="shared" si="37" ref="G1132:G1194">(E1132-F1132)/F1132</f>
        <v>0.0392156862745098</v>
      </c>
      <c r="H1132" s="241"/>
    </row>
    <row r="1133" spans="1:8" ht="16.5">
      <c r="A1133" s="3">
        <f>IF(F1133="","",COUNTA($F$1097:F1133))</f>
        <v>36</v>
      </c>
      <c r="B1133" s="24" t="s">
        <v>1564</v>
      </c>
      <c r="C1133" s="21" t="s">
        <v>1448</v>
      </c>
      <c r="D1133" s="62" t="s">
        <v>1576</v>
      </c>
      <c r="E1133" s="285">
        <v>57000</v>
      </c>
      <c r="F1133" s="286">
        <v>55000</v>
      </c>
      <c r="G1133" s="125">
        <f t="shared" si="37"/>
        <v>0.03636363636363636</v>
      </c>
      <c r="H1133" s="241"/>
    </row>
    <row r="1134" spans="1:8" ht="16.5">
      <c r="A1134" s="3">
        <f>IF(F1134="","",COUNTA($F$1097:F1134))</f>
        <v>37</v>
      </c>
      <c r="B1134" s="24" t="s">
        <v>1564</v>
      </c>
      <c r="C1134" s="21" t="s">
        <v>1448</v>
      </c>
      <c r="D1134" s="62" t="s">
        <v>1577</v>
      </c>
      <c r="E1134" s="285">
        <v>61000</v>
      </c>
      <c r="F1134" s="286">
        <v>59000</v>
      </c>
      <c r="G1134" s="125">
        <f t="shared" si="37"/>
        <v>0.03389830508474576</v>
      </c>
      <c r="H1134" s="241"/>
    </row>
    <row r="1135" spans="1:8" ht="16.5">
      <c r="A1135" s="3">
        <f>IF(F1135="","",COUNTA($F$1097:F1135))</f>
        <v>38</v>
      </c>
      <c r="B1135" s="24" t="s">
        <v>1565</v>
      </c>
      <c r="C1135" s="21" t="s">
        <v>1448</v>
      </c>
      <c r="D1135" s="62" t="s">
        <v>1576</v>
      </c>
      <c r="E1135" s="285">
        <v>66000</v>
      </c>
      <c r="F1135" s="286">
        <v>63000</v>
      </c>
      <c r="G1135" s="125">
        <f t="shared" si="37"/>
        <v>0.047619047619047616</v>
      </c>
      <c r="H1135" s="241"/>
    </row>
    <row r="1136" spans="1:8" ht="16.5">
      <c r="A1136" s="3">
        <f>IF(F1136="","",COUNTA($F$1097:F1136))</f>
        <v>39</v>
      </c>
      <c r="B1136" s="24" t="s">
        <v>1566</v>
      </c>
      <c r="C1136" s="21" t="s">
        <v>1448</v>
      </c>
      <c r="D1136" s="62" t="s">
        <v>1580</v>
      </c>
      <c r="E1136" s="285">
        <v>73000</v>
      </c>
      <c r="F1136" s="286">
        <v>71000</v>
      </c>
      <c r="G1136" s="125">
        <f t="shared" si="37"/>
        <v>0.028169014084507043</v>
      </c>
      <c r="H1136" s="241"/>
    </row>
    <row r="1137" spans="1:8" ht="16.5">
      <c r="A1137" s="3">
        <f>IF(F1137="","",COUNTA($F$1097:F1137))</f>
        <v>40</v>
      </c>
      <c r="B1137" s="24" t="s">
        <v>1566</v>
      </c>
      <c r="C1137" s="21" t="s">
        <v>1448</v>
      </c>
      <c r="D1137" s="62" t="s">
        <v>1576</v>
      </c>
      <c r="E1137" s="285">
        <v>80000</v>
      </c>
      <c r="F1137" s="286">
        <v>77000</v>
      </c>
      <c r="G1137" s="125">
        <f t="shared" si="37"/>
        <v>0.03896103896103896</v>
      </c>
      <c r="H1137" s="241"/>
    </row>
    <row r="1138" spans="1:8" ht="16.5">
      <c r="A1138" s="3">
        <f>IF(F1138="","",COUNTA($F$1097:F1138))</f>
        <v>41</v>
      </c>
      <c r="B1138" s="24" t="s">
        <v>1566</v>
      </c>
      <c r="C1138" s="21" t="s">
        <v>1448</v>
      </c>
      <c r="D1138" s="62" t="s">
        <v>1577</v>
      </c>
      <c r="E1138" s="285">
        <v>86000</v>
      </c>
      <c r="F1138" s="286">
        <v>83000</v>
      </c>
      <c r="G1138" s="125">
        <f t="shared" si="37"/>
        <v>0.03614457831325301</v>
      </c>
      <c r="H1138" s="241"/>
    </row>
    <row r="1139" spans="1:8" ht="16.5">
      <c r="A1139" s="3">
        <f>IF(F1139="","",COUNTA($F$1097:F1139))</f>
        <v>42</v>
      </c>
      <c r="B1139" s="24" t="s">
        <v>1566</v>
      </c>
      <c r="C1139" s="21" t="s">
        <v>1448</v>
      </c>
      <c r="D1139" s="62" t="s">
        <v>1578</v>
      </c>
      <c r="E1139" s="285">
        <v>98000</v>
      </c>
      <c r="F1139" s="286">
        <v>95000</v>
      </c>
      <c r="G1139" s="125">
        <f t="shared" si="37"/>
        <v>0.031578947368421054</v>
      </c>
      <c r="H1139" s="241"/>
    </row>
    <row r="1140" spans="1:8" ht="16.5">
      <c r="A1140" s="3">
        <f>IF(F1140="","",COUNTA($F$1097:F1140))</f>
        <v>43</v>
      </c>
      <c r="B1140" s="24" t="s">
        <v>1567</v>
      </c>
      <c r="C1140" s="21" t="s">
        <v>1448</v>
      </c>
      <c r="D1140" s="62" t="s">
        <v>1580</v>
      </c>
      <c r="E1140" s="285">
        <v>75000</v>
      </c>
      <c r="F1140" s="286">
        <v>73000</v>
      </c>
      <c r="G1140" s="125">
        <f t="shared" si="37"/>
        <v>0.0273972602739726</v>
      </c>
      <c r="H1140" s="241"/>
    </row>
    <row r="1141" spans="1:8" ht="16.5">
      <c r="A1141" s="3">
        <f>IF(F1141="","",COUNTA($F$1097:F1141))</f>
        <v>44</v>
      </c>
      <c r="B1141" s="24" t="s">
        <v>1567</v>
      </c>
      <c r="C1141" s="21" t="s">
        <v>1448</v>
      </c>
      <c r="D1141" s="62" t="s">
        <v>1576</v>
      </c>
      <c r="E1141" s="285">
        <v>82000</v>
      </c>
      <c r="F1141" s="286">
        <v>79000</v>
      </c>
      <c r="G1141" s="125">
        <f t="shared" si="37"/>
        <v>0.0379746835443038</v>
      </c>
      <c r="H1141" s="241"/>
    </row>
    <row r="1142" spans="1:8" ht="16.5">
      <c r="A1142" s="3">
        <f>IF(F1142="","",COUNTA($F$1097:F1142))</f>
        <v>45</v>
      </c>
      <c r="B1142" s="24" t="s">
        <v>1567</v>
      </c>
      <c r="C1142" s="21" t="s">
        <v>1448</v>
      </c>
      <c r="D1142" s="62" t="s">
        <v>1577</v>
      </c>
      <c r="E1142" s="285">
        <v>88000</v>
      </c>
      <c r="F1142" s="286">
        <v>86000</v>
      </c>
      <c r="G1142" s="125">
        <f t="shared" si="37"/>
        <v>0.023255813953488372</v>
      </c>
      <c r="H1142" s="241"/>
    </row>
    <row r="1143" spans="1:8" ht="16.5">
      <c r="A1143" s="3">
        <f>IF(F1143="","",COUNTA($F$1097:F1143))</f>
        <v>46</v>
      </c>
      <c r="B1143" s="24" t="s">
        <v>1567</v>
      </c>
      <c r="C1143" s="21" t="s">
        <v>1448</v>
      </c>
      <c r="D1143" s="62" t="s">
        <v>1578</v>
      </c>
      <c r="E1143" s="285">
        <v>101000</v>
      </c>
      <c r="F1143" s="286">
        <v>98000</v>
      </c>
      <c r="G1143" s="125">
        <f t="shared" si="37"/>
        <v>0.030612244897959183</v>
      </c>
      <c r="H1143" s="241"/>
    </row>
    <row r="1144" spans="1:8" ht="16.5">
      <c r="A1144" s="3">
        <f>IF(F1144="","",COUNTA($F$1097:F1144))</f>
        <v>47</v>
      </c>
      <c r="B1144" s="24" t="s">
        <v>1568</v>
      </c>
      <c r="C1144" s="21" t="s">
        <v>1448</v>
      </c>
      <c r="D1144" s="62" t="s">
        <v>1580</v>
      </c>
      <c r="E1144" s="285">
        <v>94000</v>
      </c>
      <c r="F1144" s="286">
        <v>91000</v>
      </c>
      <c r="G1144" s="125">
        <f t="shared" si="37"/>
        <v>0.03296703296703297</v>
      </c>
      <c r="H1144" s="241"/>
    </row>
    <row r="1145" spans="1:8" ht="16.5">
      <c r="A1145" s="3">
        <f>IF(F1145="","",COUNTA($F$1097:F1145))</f>
        <v>48</v>
      </c>
      <c r="B1145" s="24" t="s">
        <v>1568</v>
      </c>
      <c r="C1145" s="21" t="s">
        <v>1448</v>
      </c>
      <c r="D1145" s="62" t="s">
        <v>1576</v>
      </c>
      <c r="E1145" s="285">
        <v>102000</v>
      </c>
      <c r="F1145" s="286">
        <v>100000</v>
      </c>
      <c r="G1145" s="125">
        <f t="shared" si="37"/>
        <v>0.02</v>
      </c>
      <c r="H1145" s="241"/>
    </row>
    <row r="1146" spans="1:8" ht="16.5">
      <c r="A1146" s="3">
        <f>IF(F1146="","",COUNTA($F$1097:F1146))</f>
        <v>49</v>
      </c>
      <c r="B1146" s="24" t="s">
        <v>1568</v>
      </c>
      <c r="C1146" s="21" t="s">
        <v>1448</v>
      </c>
      <c r="D1146" s="62" t="s">
        <v>1577</v>
      </c>
      <c r="E1146" s="285">
        <v>111000</v>
      </c>
      <c r="F1146" s="286">
        <v>108000</v>
      </c>
      <c r="G1146" s="125">
        <f t="shared" si="37"/>
        <v>0.027777777777777776</v>
      </c>
      <c r="H1146" s="241"/>
    </row>
    <row r="1147" spans="1:8" ht="16.5">
      <c r="A1147" s="3">
        <f>IF(F1147="","",COUNTA($F$1097:F1147))</f>
        <v>50</v>
      </c>
      <c r="B1147" s="24" t="s">
        <v>1568</v>
      </c>
      <c r="C1147" s="21" t="s">
        <v>1448</v>
      </c>
      <c r="D1147" s="62" t="s">
        <v>1578</v>
      </c>
      <c r="E1147" s="285">
        <v>127000</v>
      </c>
      <c r="F1147" s="286">
        <v>124000</v>
      </c>
      <c r="G1147" s="125">
        <f t="shared" si="37"/>
        <v>0.024193548387096774</v>
      </c>
      <c r="H1147" s="241"/>
    </row>
    <row r="1148" spans="1:8" ht="16.5">
      <c r="A1148" s="3">
        <f>IF(F1148="","",COUNTA($F$1097:F1148))</f>
        <v>51</v>
      </c>
      <c r="B1148" s="24" t="s">
        <v>71</v>
      </c>
      <c r="C1148" s="21" t="s">
        <v>1448</v>
      </c>
      <c r="D1148" s="62" t="s">
        <v>1580</v>
      </c>
      <c r="E1148" s="285">
        <v>113000</v>
      </c>
      <c r="F1148" s="286">
        <v>110000</v>
      </c>
      <c r="G1148" s="125">
        <f t="shared" si="37"/>
        <v>0.02727272727272727</v>
      </c>
      <c r="H1148" s="241"/>
    </row>
    <row r="1149" spans="1:8" ht="16.5">
      <c r="A1149" s="3">
        <f>IF(F1149="","",COUNTA($F$1097:F1149))</f>
        <v>52</v>
      </c>
      <c r="B1149" s="24" t="s">
        <v>71</v>
      </c>
      <c r="C1149" s="21" t="s">
        <v>1448</v>
      </c>
      <c r="D1149" s="62" t="s">
        <v>1576</v>
      </c>
      <c r="E1149" s="285">
        <v>123000</v>
      </c>
      <c r="F1149" s="286">
        <v>120000</v>
      </c>
      <c r="G1149" s="125">
        <f t="shared" si="37"/>
        <v>0.025</v>
      </c>
      <c r="H1149" s="241"/>
    </row>
    <row r="1150" spans="1:8" ht="16.5">
      <c r="A1150" s="3">
        <f>IF(F1150="","",COUNTA($F$1097:F1150))</f>
        <v>53</v>
      </c>
      <c r="B1150" s="24" t="s">
        <v>71</v>
      </c>
      <c r="C1150" s="21" t="s">
        <v>1448</v>
      </c>
      <c r="D1150" s="62" t="s">
        <v>1577</v>
      </c>
      <c r="E1150" s="285">
        <v>133000</v>
      </c>
      <c r="F1150" s="286">
        <v>130000</v>
      </c>
      <c r="G1150" s="125">
        <f t="shared" si="37"/>
        <v>0.023076923076923078</v>
      </c>
      <c r="H1150" s="241"/>
    </row>
    <row r="1151" spans="1:8" ht="16.5">
      <c r="A1151" s="3">
        <f>IF(F1151="","",COUNTA($F$1097:F1151))</f>
        <v>54</v>
      </c>
      <c r="B1151" s="24" t="s">
        <v>71</v>
      </c>
      <c r="C1151" s="21" t="s">
        <v>1448</v>
      </c>
      <c r="D1151" s="62" t="s">
        <v>1578</v>
      </c>
      <c r="E1151" s="285">
        <v>153000</v>
      </c>
      <c r="F1151" s="286">
        <v>150000</v>
      </c>
      <c r="G1151" s="125">
        <f t="shared" si="37"/>
        <v>0.02</v>
      </c>
      <c r="H1151" s="241"/>
    </row>
    <row r="1152" spans="1:8" ht="16.5">
      <c r="A1152" s="3">
        <f>IF(F1152="","",COUNTA($F$1097:F1152))</f>
        <v>55</v>
      </c>
      <c r="B1152" s="24" t="s">
        <v>1569</v>
      </c>
      <c r="C1152" s="21" t="s">
        <v>1448</v>
      </c>
      <c r="D1152" s="62" t="s">
        <v>1580</v>
      </c>
      <c r="E1152" s="285">
        <v>113000</v>
      </c>
      <c r="F1152" s="286">
        <v>110000</v>
      </c>
      <c r="G1152" s="125">
        <f t="shared" si="37"/>
        <v>0.02727272727272727</v>
      </c>
      <c r="H1152" s="241"/>
    </row>
    <row r="1153" spans="1:8" ht="16.5">
      <c r="A1153" s="3">
        <f>IF(F1153="","",COUNTA($F$1097:F1153))</f>
        <v>56</v>
      </c>
      <c r="B1153" s="24" t="s">
        <v>1569</v>
      </c>
      <c r="C1153" s="21" t="s">
        <v>1448</v>
      </c>
      <c r="D1153" s="62" t="s">
        <v>1576</v>
      </c>
      <c r="E1153" s="285">
        <v>123000</v>
      </c>
      <c r="F1153" s="286">
        <v>120000</v>
      </c>
      <c r="G1153" s="125">
        <f t="shared" si="37"/>
        <v>0.025</v>
      </c>
      <c r="H1153" s="241"/>
    </row>
    <row r="1154" spans="1:8" ht="16.5">
      <c r="A1154" s="3">
        <f>IF(F1154="","",COUNTA($F$1097:F1154))</f>
        <v>57</v>
      </c>
      <c r="B1154" s="24" t="s">
        <v>1569</v>
      </c>
      <c r="C1154" s="21" t="s">
        <v>1448</v>
      </c>
      <c r="D1154" s="62" t="s">
        <v>1577</v>
      </c>
      <c r="E1154" s="285">
        <v>133000</v>
      </c>
      <c r="F1154" s="286">
        <v>130000</v>
      </c>
      <c r="G1154" s="125">
        <f t="shared" si="37"/>
        <v>0.023076923076923078</v>
      </c>
      <c r="H1154" s="241"/>
    </row>
    <row r="1155" spans="1:8" ht="16.5">
      <c r="A1155" s="3">
        <f>IF(F1155="","",COUNTA($F$1097:F1155))</f>
        <v>58</v>
      </c>
      <c r="B1155" s="24" t="s">
        <v>1569</v>
      </c>
      <c r="C1155" s="21" t="s">
        <v>1448</v>
      </c>
      <c r="D1155" s="62" t="s">
        <v>1578</v>
      </c>
      <c r="E1155" s="285">
        <v>153000</v>
      </c>
      <c r="F1155" s="286">
        <v>150000</v>
      </c>
      <c r="G1155" s="125">
        <f t="shared" si="37"/>
        <v>0.02</v>
      </c>
      <c r="H1155" s="241"/>
    </row>
    <row r="1156" spans="1:8" ht="16.5">
      <c r="A1156" s="3">
        <f>IF(F1156="","",COUNTA($F$1097:F1156))</f>
        <v>59</v>
      </c>
      <c r="B1156" s="24" t="s">
        <v>1570</v>
      </c>
      <c r="C1156" s="21" t="s">
        <v>1448</v>
      </c>
      <c r="D1156" s="62" t="s">
        <v>1576</v>
      </c>
      <c r="E1156" s="285">
        <v>164000</v>
      </c>
      <c r="F1156" s="286">
        <v>160000</v>
      </c>
      <c r="G1156" s="125">
        <f t="shared" si="37"/>
        <v>0.025</v>
      </c>
      <c r="H1156" s="241"/>
    </row>
    <row r="1157" spans="1:8" ht="16.5">
      <c r="A1157" s="3">
        <f>IF(F1157="","",COUNTA($F$1097:F1157))</f>
        <v>60</v>
      </c>
      <c r="B1157" s="24" t="s">
        <v>1570</v>
      </c>
      <c r="C1157" s="21" t="s">
        <v>1448</v>
      </c>
      <c r="D1157" s="62" t="s">
        <v>1577</v>
      </c>
      <c r="E1157" s="285">
        <v>179000</v>
      </c>
      <c r="F1157" s="286">
        <v>176000</v>
      </c>
      <c r="G1157" s="125">
        <f t="shared" si="37"/>
        <v>0.017045454545454544</v>
      </c>
      <c r="H1157" s="241"/>
    </row>
    <row r="1158" spans="1:8" ht="16.5">
      <c r="A1158" s="3">
        <f>IF(F1158="","",COUNTA($F$1097:F1158))</f>
        <v>61</v>
      </c>
      <c r="B1158" s="24" t="s">
        <v>1570</v>
      </c>
      <c r="C1158" s="21" t="s">
        <v>1448</v>
      </c>
      <c r="D1158" s="62" t="s">
        <v>1578</v>
      </c>
      <c r="E1158" s="285">
        <v>207000</v>
      </c>
      <c r="F1158" s="286">
        <v>203000</v>
      </c>
      <c r="G1158" s="125">
        <f t="shared" si="37"/>
        <v>0.019704433497536946</v>
      </c>
      <c r="H1158" s="241"/>
    </row>
    <row r="1159" spans="1:8" ht="16.5">
      <c r="A1159" s="3">
        <f>IF(F1159="","",COUNTA($F$1097:F1159))</f>
        <v>62</v>
      </c>
      <c r="B1159" s="24" t="s">
        <v>1571</v>
      </c>
      <c r="C1159" s="21" t="s">
        <v>1448</v>
      </c>
      <c r="D1159" s="62" t="s">
        <v>1578</v>
      </c>
      <c r="E1159" s="285">
        <v>261000</v>
      </c>
      <c r="F1159" s="286">
        <v>257000</v>
      </c>
      <c r="G1159" s="125">
        <f t="shared" si="37"/>
        <v>0.01556420233463035</v>
      </c>
      <c r="H1159" s="241"/>
    </row>
    <row r="1160" spans="1:8" ht="16.5">
      <c r="A1160" s="3">
        <f>IF(F1160="","",COUNTA($F$1097:F1160))</f>
        <v>63</v>
      </c>
      <c r="B1160" s="24" t="s">
        <v>1530</v>
      </c>
      <c r="C1160" s="21" t="s">
        <v>1448</v>
      </c>
      <c r="D1160" s="62" t="s">
        <v>1580</v>
      </c>
      <c r="E1160" s="285">
        <v>141000</v>
      </c>
      <c r="F1160" s="286">
        <v>138000</v>
      </c>
      <c r="G1160" s="125">
        <f t="shared" si="37"/>
        <v>0.021739130434782608</v>
      </c>
      <c r="H1160" s="241"/>
    </row>
    <row r="1161" spans="1:8" ht="16.5">
      <c r="A1161" s="3">
        <f>IF(F1161="","",COUNTA($F$1097:F1161))</f>
        <v>64</v>
      </c>
      <c r="B1161" s="24" t="s">
        <v>1530</v>
      </c>
      <c r="C1161" s="21" t="s">
        <v>1448</v>
      </c>
      <c r="D1161" s="62" t="s">
        <v>1576</v>
      </c>
      <c r="E1161" s="285">
        <v>154000</v>
      </c>
      <c r="F1161" s="286">
        <v>151000</v>
      </c>
      <c r="G1161" s="125">
        <f t="shared" si="37"/>
        <v>0.019867549668874173</v>
      </c>
      <c r="H1161" s="241"/>
    </row>
    <row r="1162" spans="1:8" ht="16.5">
      <c r="A1162" s="3">
        <f>IF(F1162="","",COUNTA($F$1097:F1162))</f>
        <v>65</v>
      </c>
      <c r="B1162" s="24" t="s">
        <v>1530</v>
      </c>
      <c r="C1162" s="21" t="s">
        <v>1448</v>
      </c>
      <c r="D1162" s="62" t="s">
        <v>1577</v>
      </c>
      <c r="E1162" s="285">
        <v>167000</v>
      </c>
      <c r="F1162" s="286">
        <v>164000</v>
      </c>
      <c r="G1162" s="125">
        <f t="shared" si="37"/>
        <v>0.018292682926829267</v>
      </c>
      <c r="H1162" s="241"/>
    </row>
    <row r="1163" spans="1:8" ht="16.5">
      <c r="A1163" s="3">
        <f>IF(F1163="","",COUNTA($F$1097:F1163))</f>
        <v>66</v>
      </c>
      <c r="B1163" s="24" t="s">
        <v>1530</v>
      </c>
      <c r="C1163" s="21" t="s">
        <v>1448</v>
      </c>
      <c r="D1163" s="62" t="s">
        <v>1578</v>
      </c>
      <c r="E1163" s="285">
        <v>194000</v>
      </c>
      <c r="F1163" s="286">
        <v>190000</v>
      </c>
      <c r="G1163" s="125">
        <f t="shared" si="37"/>
        <v>0.021052631578947368</v>
      </c>
      <c r="H1163" s="241"/>
    </row>
    <row r="1164" spans="1:8" ht="16.5">
      <c r="A1164" s="3">
        <f>IF(F1164="","",COUNTA($F$1097:F1164))</f>
        <v>67</v>
      </c>
      <c r="B1164" s="24" t="s">
        <v>1533</v>
      </c>
      <c r="C1164" s="21" t="s">
        <v>1448</v>
      </c>
      <c r="D1164" s="62" t="s">
        <v>1580</v>
      </c>
      <c r="E1164" s="285">
        <v>169000</v>
      </c>
      <c r="F1164" s="286">
        <v>166000</v>
      </c>
      <c r="G1164" s="125">
        <f t="shared" si="37"/>
        <v>0.018072289156626505</v>
      </c>
      <c r="H1164" s="241"/>
    </row>
    <row r="1165" spans="1:8" ht="16.5">
      <c r="A1165" s="3">
        <f>IF(F1165="","",COUNTA($F$1097:F1165))</f>
        <v>68</v>
      </c>
      <c r="B1165" s="24" t="s">
        <v>1533</v>
      </c>
      <c r="C1165" s="21" t="s">
        <v>1448</v>
      </c>
      <c r="D1165" s="62" t="s">
        <v>1576</v>
      </c>
      <c r="E1165" s="285">
        <v>186000</v>
      </c>
      <c r="F1165" s="286">
        <v>182000</v>
      </c>
      <c r="G1165" s="125">
        <f t="shared" si="37"/>
        <v>0.02197802197802198</v>
      </c>
      <c r="H1165" s="241"/>
    </row>
    <row r="1166" spans="1:8" ht="16.5">
      <c r="A1166" s="3">
        <f>IF(F1166="","",COUNTA($F$1097:F1166))</f>
        <v>69</v>
      </c>
      <c r="B1166" s="24" t="s">
        <v>1533</v>
      </c>
      <c r="C1166" s="21" t="s">
        <v>1448</v>
      </c>
      <c r="D1166" s="62" t="s">
        <v>1577</v>
      </c>
      <c r="E1166" s="285">
        <v>202000</v>
      </c>
      <c r="F1166" s="286">
        <v>198000</v>
      </c>
      <c r="G1166" s="125">
        <f t="shared" si="37"/>
        <v>0.020202020202020204</v>
      </c>
      <c r="H1166" s="241"/>
    </row>
    <row r="1167" spans="1:8" ht="16.5">
      <c r="A1167" s="3">
        <f>IF(F1167="","",COUNTA($F$1097:F1167))</f>
        <v>70</v>
      </c>
      <c r="B1167" s="24" t="s">
        <v>1533</v>
      </c>
      <c r="C1167" s="21" t="s">
        <v>1448</v>
      </c>
      <c r="D1167" s="62" t="s">
        <v>1578</v>
      </c>
      <c r="E1167" s="285">
        <v>234000</v>
      </c>
      <c r="F1167" s="286">
        <v>230000</v>
      </c>
      <c r="G1167" s="125">
        <f t="shared" si="37"/>
        <v>0.017391304347826087</v>
      </c>
      <c r="H1167" s="241"/>
    </row>
    <row r="1168" spans="1:8" ht="16.5">
      <c r="A1168" s="3">
        <f>IF(F1168="","",COUNTA($F$1097:F1168))</f>
        <v>71</v>
      </c>
      <c r="B1168" s="24" t="s">
        <v>1533</v>
      </c>
      <c r="C1168" s="21" t="s">
        <v>1448</v>
      </c>
      <c r="D1168" s="62" t="s">
        <v>1579</v>
      </c>
      <c r="E1168" s="285">
        <v>297000</v>
      </c>
      <c r="F1168" s="286">
        <v>248000</v>
      </c>
      <c r="G1168" s="125">
        <f t="shared" si="37"/>
        <v>0.1975806451612903</v>
      </c>
      <c r="H1168" s="241"/>
    </row>
    <row r="1169" spans="1:8" ht="16.5">
      <c r="A1169" s="3">
        <f>IF(F1169="","",COUNTA($F$1097:F1169))</f>
        <v>72</v>
      </c>
      <c r="B1169" s="24" t="s">
        <v>1533</v>
      </c>
      <c r="C1169" s="21" t="s">
        <v>1448</v>
      </c>
      <c r="D1169" s="62" t="s">
        <v>1581</v>
      </c>
      <c r="E1169" s="285">
        <v>328000</v>
      </c>
      <c r="F1169" s="286">
        <v>321000</v>
      </c>
      <c r="G1169" s="125">
        <f t="shared" si="37"/>
        <v>0.021806853582554516</v>
      </c>
      <c r="H1169" s="241"/>
    </row>
    <row r="1170" spans="1:8" ht="16.5">
      <c r="A1170" s="3">
        <f>IF(F1170="","",COUNTA($F$1097:F1170))</f>
        <v>73</v>
      </c>
      <c r="B1170" s="24" t="s">
        <v>1538</v>
      </c>
      <c r="C1170" s="21" t="s">
        <v>1448</v>
      </c>
      <c r="D1170" s="62" t="s">
        <v>1580</v>
      </c>
      <c r="E1170" s="285">
        <v>227000</v>
      </c>
      <c r="F1170" s="286">
        <v>223000</v>
      </c>
      <c r="G1170" s="125">
        <f t="shared" si="37"/>
        <v>0.017937219730941704</v>
      </c>
      <c r="H1170" s="241"/>
    </row>
    <row r="1171" spans="1:8" ht="16.5">
      <c r="A1171" s="3">
        <f>IF(F1171="","",COUNTA($F$1097:F1171))</f>
        <v>74</v>
      </c>
      <c r="B1171" s="24" t="s">
        <v>1538</v>
      </c>
      <c r="C1171" s="21" t="s">
        <v>1448</v>
      </c>
      <c r="D1171" s="62" t="s">
        <v>1576</v>
      </c>
      <c r="E1171" s="285">
        <v>249000</v>
      </c>
      <c r="F1171" s="286">
        <v>244000</v>
      </c>
      <c r="G1171" s="125">
        <f t="shared" si="37"/>
        <v>0.020491803278688523</v>
      </c>
      <c r="H1171" s="241"/>
    </row>
    <row r="1172" spans="1:8" ht="16.5">
      <c r="A1172" s="3">
        <f>IF(F1172="","",COUNTA($F$1097:F1172))</f>
        <v>75</v>
      </c>
      <c r="B1172" s="24" t="s">
        <v>1538</v>
      </c>
      <c r="C1172" s="21" t="s">
        <v>1448</v>
      </c>
      <c r="D1172" s="62" t="s">
        <v>1577</v>
      </c>
      <c r="E1172" s="285">
        <v>271000</v>
      </c>
      <c r="F1172" s="286">
        <v>265000</v>
      </c>
      <c r="G1172" s="125">
        <f t="shared" si="37"/>
        <v>0.022641509433962263</v>
      </c>
      <c r="H1172" s="241"/>
    </row>
    <row r="1173" spans="1:8" ht="16.5">
      <c r="A1173" s="3">
        <f>IF(F1173="","",COUNTA($F$1097:F1173))</f>
        <v>76</v>
      </c>
      <c r="B1173" s="24" t="s">
        <v>1538</v>
      </c>
      <c r="C1173" s="21" t="s">
        <v>1448</v>
      </c>
      <c r="D1173" s="62" t="s">
        <v>1578</v>
      </c>
      <c r="E1173" s="285">
        <v>314000</v>
      </c>
      <c r="F1173" s="286">
        <v>308000</v>
      </c>
      <c r="G1173" s="125">
        <f t="shared" si="37"/>
        <v>0.01948051948051948</v>
      </c>
      <c r="H1173" s="241"/>
    </row>
    <row r="1174" spans="1:8" ht="16.5">
      <c r="A1174" s="3">
        <f>IF(F1174="","",COUNTA($F$1097:F1174))</f>
        <v>77</v>
      </c>
      <c r="B1174" s="24" t="s">
        <v>1538</v>
      </c>
      <c r="C1174" s="21" t="s">
        <v>1448</v>
      </c>
      <c r="D1174" s="62" t="s">
        <v>1579</v>
      </c>
      <c r="E1174" s="285">
        <v>400000</v>
      </c>
      <c r="F1174" s="286">
        <v>392000</v>
      </c>
      <c r="G1174" s="125">
        <f t="shared" si="37"/>
        <v>0.02040816326530612</v>
      </c>
      <c r="H1174" s="241"/>
    </row>
    <row r="1175" spans="1:8" ht="16.5">
      <c r="A1175" s="3">
        <f>IF(F1175="","",COUNTA($F$1097:F1175))</f>
        <v>78</v>
      </c>
      <c r="B1175" s="24" t="s">
        <v>1538</v>
      </c>
      <c r="C1175" s="21" t="s">
        <v>1448</v>
      </c>
      <c r="D1175" s="62" t="s">
        <v>1581</v>
      </c>
      <c r="E1175" s="285">
        <v>442000</v>
      </c>
      <c r="F1175" s="286">
        <v>434000</v>
      </c>
      <c r="G1175" s="125">
        <f t="shared" si="37"/>
        <v>0.018433179723502304</v>
      </c>
      <c r="H1175" s="241"/>
    </row>
    <row r="1176" spans="1:8" ht="17.25">
      <c r="A1176" s="3">
        <f>IF(F1176="","",COUNTA($F$1097:F1176))</f>
      </c>
      <c r="B1176" s="35" t="s">
        <v>1573</v>
      </c>
      <c r="E1176" s="222"/>
      <c r="F1176" s="287"/>
      <c r="G1176" s="125"/>
      <c r="H1176" s="241"/>
    </row>
    <row r="1177" spans="1:8" ht="16.5">
      <c r="A1177" s="3">
        <f>IF(F1177="","",COUNTA($F$1097:F1177))</f>
        <v>79</v>
      </c>
      <c r="B1177" s="24" t="s">
        <v>1564</v>
      </c>
      <c r="C1177" s="21" t="s">
        <v>1448</v>
      </c>
      <c r="D1177" s="62" t="s">
        <v>1577</v>
      </c>
      <c r="E1177" s="285">
        <v>74800</v>
      </c>
      <c r="F1177" s="286">
        <v>67000</v>
      </c>
      <c r="G1177" s="125">
        <f t="shared" si="37"/>
        <v>0.11641791044776119</v>
      </c>
      <c r="H1177" s="241"/>
    </row>
    <row r="1178" spans="1:8" ht="16.5">
      <c r="A1178" s="3">
        <f>IF(F1178="","",COUNTA($F$1097:F1178))</f>
        <v>80</v>
      </c>
      <c r="B1178" s="24" t="s">
        <v>1566</v>
      </c>
      <c r="C1178" s="21" t="s">
        <v>1448</v>
      </c>
      <c r="D1178" s="62" t="s">
        <v>1577</v>
      </c>
      <c r="E1178" s="285">
        <v>104500.00000000001</v>
      </c>
      <c r="F1178" s="286">
        <v>94000</v>
      </c>
      <c r="G1178" s="125">
        <f t="shared" si="37"/>
        <v>0.11170212765957463</v>
      </c>
      <c r="H1178" s="241"/>
    </row>
    <row r="1179" spans="1:8" ht="16.5">
      <c r="A1179" s="3">
        <f>IF(F1179="","",COUNTA($F$1097:F1179))</f>
        <v>81</v>
      </c>
      <c r="B1179" s="24" t="s">
        <v>1566</v>
      </c>
      <c r="C1179" s="21" t="s">
        <v>1448</v>
      </c>
      <c r="D1179" s="62" t="s">
        <v>1578</v>
      </c>
      <c r="E1179" s="285">
        <v>118800.00000000001</v>
      </c>
      <c r="F1179" s="286">
        <v>107000</v>
      </c>
      <c r="G1179" s="125">
        <f t="shared" si="37"/>
        <v>0.11028037383177584</v>
      </c>
      <c r="H1179" s="241"/>
    </row>
    <row r="1180" spans="1:8" ht="16.5">
      <c r="A1180" s="3">
        <f>IF(F1180="","",COUNTA($F$1097:F1180))</f>
        <v>82</v>
      </c>
      <c r="B1180" s="24" t="s">
        <v>1567</v>
      </c>
      <c r="C1180" s="21" t="s">
        <v>1448</v>
      </c>
      <c r="D1180" s="62" t="s">
        <v>1577</v>
      </c>
      <c r="E1180" s="285">
        <v>106700.00000000001</v>
      </c>
      <c r="F1180" s="286">
        <v>96000</v>
      </c>
      <c r="G1180" s="125">
        <f t="shared" si="37"/>
        <v>0.11145833333333348</v>
      </c>
      <c r="H1180" s="241"/>
    </row>
    <row r="1181" spans="1:8" ht="16.5">
      <c r="A1181" s="3">
        <f>IF(F1181="","",COUNTA($F$1097:F1181))</f>
        <v>83</v>
      </c>
      <c r="B1181" s="24" t="s">
        <v>1567</v>
      </c>
      <c r="C1181" s="21" t="s">
        <v>1448</v>
      </c>
      <c r="D1181" s="62" t="s">
        <v>1578</v>
      </c>
      <c r="E1181" s="285">
        <v>122100.00000000001</v>
      </c>
      <c r="F1181" s="286">
        <v>110000</v>
      </c>
      <c r="G1181" s="125">
        <f t="shared" si="37"/>
        <v>0.11000000000000013</v>
      </c>
      <c r="H1181" s="241"/>
    </row>
    <row r="1182" spans="1:8" ht="16.5">
      <c r="A1182" s="3">
        <f>IF(F1182="","",COUNTA($F$1097:F1182))</f>
        <v>84</v>
      </c>
      <c r="B1182" s="24" t="s">
        <v>1568</v>
      </c>
      <c r="C1182" s="21" t="s">
        <v>1448</v>
      </c>
      <c r="D1182" s="62" t="s">
        <v>1577</v>
      </c>
      <c r="E1182" s="285">
        <v>134200</v>
      </c>
      <c r="F1182" s="286">
        <v>121000</v>
      </c>
      <c r="G1182" s="125">
        <f t="shared" si="37"/>
        <v>0.10909090909090909</v>
      </c>
      <c r="H1182" s="241"/>
    </row>
    <row r="1183" spans="1:8" ht="16.5">
      <c r="A1183" s="3">
        <f>IF(F1183="","",COUNTA($F$1097:F1183))</f>
        <v>85</v>
      </c>
      <c r="B1183" s="24" t="s">
        <v>1568</v>
      </c>
      <c r="C1183" s="21" t="s">
        <v>1448</v>
      </c>
      <c r="D1183" s="62" t="s">
        <v>1578</v>
      </c>
      <c r="E1183" s="285">
        <v>154000</v>
      </c>
      <c r="F1183" s="286">
        <v>139000</v>
      </c>
      <c r="G1183" s="125">
        <f t="shared" si="37"/>
        <v>0.1079136690647482</v>
      </c>
      <c r="H1183" s="241"/>
    </row>
    <row r="1184" spans="1:8" ht="16.5">
      <c r="A1184" s="3">
        <f>IF(F1184="","",COUNTA($F$1097:F1184))</f>
        <v>86</v>
      </c>
      <c r="B1184" s="24" t="s">
        <v>71</v>
      </c>
      <c r="C1184" s="21" t="s">
        <v>1448</v>
      </c>
      <c r="D1184" s="62" t="s">
        <v>1577</v>
      </c>
      <c r="E1184" s="285">
        <v>160600</v>
      </c>
      <c r="F1184" s="286">
        <v>121000</v>
      </c>
      <c r="G1184" s="125">
        <f t="shared" si="37"/>
        <v>0.32727272727272727</v>
      </c>
      <c r="H1184" s="241"/>
    </row>
    <row r="1185" spans="1:8" ht="16.5">
      <c r="A1185" s="3">
        <f>IF(F1185="","",COUNTA($F$1097:F1185))</f>
        <v>87</v>
      </c>
      <c r="B1185" s="24" t="s">
        <v>71</v>
      </c>
      <c r="C1185" s="21" t="s">
        <v>1448</v>
      </c>
      <c r="D1185" s="62" t="s">
        <v>1578</v>
      </c>
      <c r="E1185" s="285">
        <v>185900.00000000003</v>
      </c>
      <c r="F1185" s="286">
        <v>139000</v>
      </c>
      <c r="G1185" s="125">
        <f t="shared" si="37"/>
        <v>0.33741007194244627</v>
      </c>
      <c r="H1185" s="241"/>
    </row>
    <row r="1186" spans="1:8" ht="16.5">
      <c r="A1186" s="3">
        <f>IF(F1186="","",COUNTA($F$1097:F1186))</f>
        <v>88</v>
      </c>
      <c r="B1186" s="24" t="s">
        <v>1569</v>
      </c>
      <c r="C1186" s="21" t="s">
        <v>1448</v>
      </c>
      <c r="D1186" s="62" t="s">
        <v>1577</v>
      </c>
      <c r="E1186" s="285">
        <v>160600</v>
      </c>
      <c r="F1186" s="286">
        <v>146000</v>
      </c>
      <c r="G1186" s="125">
        <f t="shared" si="37"/>
        <v>0.1</v>
      </c>
      <c r="H1186" s="241"/>
    </row>
    <row r="1187" spans="1:8" ht="16.5">
      <c r="A1187" s="3">
        <f>IF(F1187="","",COUNTA($F$1097:F1187))</f>
        <v>89</v>
      </c>
      <c r="B1187" s="24" t="s">
        <v>1569</v>
      </c>
      <c r="C1187" s="21" t="s">
        <v>1448</v>
      </c>
      <c r="D1187" s="62" t="s">
        <v>1578</v>
      </c>
      <c r="E1187" s="285">
        <v>185900.00000000003</v>
      </c>
      <c r="F1187" s="286">
        <v>168000</v>
      </c>
      <c r="G1187" s="125">
        <f t="shared" si="37"/>
        <v>0.10654761904761922</v>
      </c>
      <c r="H1187" s="241"/>
    </row>
    <row r="1188" spans="1:8" ht="16.5">
      <c r="A1188" s="3">
        <f>IF(F1188="","",COUNTA($F$1097:F1188))</f>
        <v>90</v>
      </c>
      <c r="B1188" s="24" t="s">
        <v>1570</v>
      </c>
      <c r="C1188" s="21" t="s">
        <v>1448</v>
      </c>
      <c r="D1188" s="62" t="s">
        <v>1577</v>
      </c>
      <c r="E1188" s="285">
        <v>217800.00000000003</v>
      </c>
      <c r="F1188" s="286">
        <v>197000</v>
      </c>
      <c r="G1188" s="125">
        <f t="shared" si="37"/>
        <v>0.10558375634517782</v>
      </c>
      <c r="H1188" s="241"/>
    </row>
    <row r="1189" spans="1:8" ht="16.5">
      <c r="A1189" s="3">
        <f>IF(F1189="","",COUNTA($F$1097:F1189))</f>
        <v>91</v>
      </c>
      <c r="B1189" s="24" t="s">
        <v>1570</v>
      </c>
      <c r="C1189" s="21" t="s">
        <v>1448</v>
      </c>
      <c r="D1189" s="62" t="s">
        <v>1578</v>
      </c>
      <c r="E1189" s="285">
        <v>251900.00000000003</v>
      </c>
      <c r="F1189" s="286">
        <v>228000</v>
      </c>
      <c r="G1189" s="125">
        <f t="shared" si="37"/>
        <v>0.1048245614035089</v>
      </c>
      <c r="H1189" s="241"/>
    </row>
    <row r="1190" spans="1:8" ht="16.5">
      <c r="A1190" s="3">
        <f>IF(F1190="","",COUNTA($F$1097:F1190))</f>
        <v>92</v>
      </c>
      <c r="B1190" s="24" t="s">
        <v>1530</v>
      </c>
      <c r="C1190" s="21" t="s">
        <v>1448</v>
      </c>
      <c r="D1190" s="62" t="s">
        <v>1577</v>
      </c>
      <c r="E1190" s="285">
        <v>203500.00000000003</v>
      </c>
      <c r="F1190" s="286">
        <v>185000</v>
      </c>
      <c r="G1190" s="125">
        <f t="shared" si="37"/>
        <v>0.10000000000000016</v>
      </c>
      <c r="H1190" s="241"/>
    </row>
    <row r="1191" spans="1:8" ht="16.5">
      <c r="A1191" s="3">
        <f>IF(F1191="","",COUNTA($F$1097:F1191))</f>
        <v>93</v>
      </c>
      <c r="B1191" s="24" t="s">
        <v>1530</v>
      </c>
      <c r="C1191" s="21" t="s">
        <v>1448</v>
      </c>
      <c r="D1191" s="62" t="s">
        <v>1578</v>
      </c>
      <c r="E1191" s="285">
        <v>236500.00000000003</v>
      </c>
      <c r="F1191" s="286">
        <v>213000</v>
      </c>
      <c r="G1191" s="125">
        <f t="shared" si="37"/>
        <v>0.11032863849765272</v>
      </c>
      <c r="H1191" s="241"/>
    </row>
    <row r="1192" spans="1:8" ht="16.5">
      <c r="A1192" s="3">
        <f>IF(F1192="","",COUNTA($F$1097:F1192))</f>
        <v>94</v>
      </c>
      <c r="B1192" s="24" t="s">
        <v>1533</v>
      </c>
      <c r="C1192" s="21" t="s">
        <v>1448</v>
      </c>
      <c r="D1192" s="62" t="s">
        <v>1577</v>
      </c>
      <c r="E1192" s="285">
        <v>246400.00000000003</v>
      </c>
      <c r="F1192" s="286">
        <v>222000</v>
      </c>
      <c r="G1192" s="125">
        <f t="shared" si="37"/>
        <v>0.10990990990991004</v>
      </c>
      <c r="H1192" s="241"/>
    </row>
    <row r="1193" spans="1:8" ht="16.5">
      <c r="A1193" s="3">
        <f>IF(F1193="","",COUNTA($F$1097:F1193))</f>
        <v>95</v>
      </c>
      <c r="B1193" s="24" t="s">
        <v>1533</v>
      </c>
      <c r="C1193" s="21" t="s">
        <v>1448</v>
      </c>
      <c r="D1193" s="62" t="s">
        <v>1578</v>
      </c>
      <c r="E1193" s="285">
        <v>284900</v>
      </c>
      <c r="F1193" s="286">
        <v>257000</v>
      </c>
      <c r="G1193" s="125">
        <f t="shared" si="37"/>
        <v>0.1085603112840467</v>
      </c>
      <c r="H1193" s="241"/>
    </row>
    <row r="1194" spans="1:8" ht="16.5">
      <c r="A1194" s="3">
        <f>IF(F1194="","",COUNTA($F$1097:F1194))</f>
        <v>96</v>
      </c>
      <c r="B1194" s="24" t="s">
        <v>1533</v>
      </c>
      <c r="C1194" s="21" t="s">
        <v>1448</v>
      </c>
      <c r="D1194" s="62" t="s">
        <v>1579</v>
      </c>
      <c r="E1194" s="285">
        <v>361900.00000000006</v>
      </c>
      <c r="F1194" s="286">
        <v>388000</v>
      </c>
      <c r="G1194" s="125">
        <f t="shared" si="37"/>
        <v>-0.06726804123711325</v>
      </c>
      <c r="H1194" s="241"/>
    </row>
    <row r="1195" spans="1:8" ht="16.5">
      <c r="A1195" s="3">
        <f>IF(F1195="","",COUNTA($F$1097:F1195))</f>
        <v>97</v>
      </c>
      <c r="B1195" s="24" t="s">
        <v>1538</v>
      </c>
      <c r="C1195" s="21" t="s">
        <v>1448</v>
      </c>
      <c r="D1195" s="62" t="s">
        <v>1577</v>
      </c>
      <c r="E1195" s="285">
        <v>330000</v>
      </c>
      <c r="F1195" s="286">
        <v>298000</v>
      </c>
      <c r="G1195" s="125">
        <f aca="true" t="shared" si="38" ref="G1195:G1230">(E1195-F1195)/F1195</f>
        <v>0.10738255033557047</v>
      </c>
      <c r="H1195" s="241"/>
    </row>
    <row r="1196" spans="1:8" ht="16.5">
      <c r="A1196" s="3">
        <f>IF(F1196="","",COUNTA($F$1097:F1196))</f>
        <v>98</v>
      </c>
      <c r="B1196" s="24" t="s">
        <v>1538</v>
      </c>
      <c r="C1196" s="21" t="s">
        <v>1448</v>
      </c>
      <c r="D1196" s="62" t="s">
        <v>1578</v>
      </c>
      <c r="E1196" s="285">
        <v>382800.00000000006</v>
      </c>
      <c r="F1196" s="286">
        <v>346000</v>
      </c>
      <c r="G1196" s="125">
        <f t="shared" si="38"/>
        <v>0.10635838150289034</v>
      </c>
      <c r="H1196" s="241"/>
    </row>
    <row r="1197" spans="1:8" ht="16.5">
      <c r="A1197" s="3">
        <f>IF(F1197="","",COUNTA($F$1097:F1197))</f>
        <v>99</v>
      </c>
      <c r="B1197" s="24" t="s">
        <v>1538</v>
      </c>
      <c r="C1197" s="21" t="s">
        <v>1448</v>
      </c>
      <c r="D1197" s="62" t="s">
        <v>1579</v>
      </c>
      <c r="E1197" s="285">
        <v>487300.00000000006</v>
      </c>
      <c r="F1197" s="286">
        <v>440000</v>
      </c>
      <c r="G1197" s="125">
        <f t="shared" si="38"/>
        <v>0.10750000000000014</v>
      </c>
      <c r="H1197" s="241"/>
    </row>
    <row r="1198" spans="1:8" ht="16.5">
      <c r="A1198" s="3">
        <f>IF(F1198="","",COUNTA($F$1097:F1198))</f>
        <v>100</v>
      </c>
      <c r="B1198" s="24" t="s">
        <v>1538</v>
      </c>
      <c r="C1198" s="21" t="s">
        <v>1448</v>
      </c>
      <c r="D1198" s="62" t="s">
        <v>1581</v>
      </c>
      <c r="E1198" s="285">
        <v>539000</v>
      </c>
      <c r="F1198" s="286">
        <v>487000</v>
      </c>
      <c r="G1198" s="125">
        <f t="shared" si="38"/>
        <v>0.10677618069815195</v>
      </c>
      <c r="H1198" s="241"/>
    </row>
    <row r="1199" spans="1:8" ht="17.25">
      <c r="A1199" s="3">
        <f>IF(F1199="","",COUNTA($F$1097:F1199))</f>
      </c>
      <c r="B1199" s="35" t="s">
        <v>3101</v>
      </c>
      <c r="E1199" s="16"/>
      <c r="F1199" s="288"/>
      <c r="G1199" s="125"/>
      <c r="H1199" s="241"/>
    </row>
    <row r="1200" spans="1:8" ht="16.5">
      <c r="A1200" s="3">
        <f>IF(F1200="","",COUNTA($F$1097:F1200))</f>
        <v>101</v>
      </c>
      <c r="B1200" s="58" t="s">
        <v>2147</v>
      </c>
      <c r="C1200" s="3" t="s">
        <v>2793</v>
      </c>
      <c r="D1200" s="97" t="s">
        <v>1579</v>
      </c>
      <c r="E1200" s="285">
        <v>62000</v>
      </c>
      <c r="F1200" s="286">
        <v>56363.63636363636</v>
      </c>
      <c r="G1200" s="125">
        <f t="shared" si="38"/>
        <v>0.10000000000000006</v>
      </c>
      <c r="H1200" s="241"/>
    </row>
    <row r="1201" spans="1:8" ht="16.5">
      <c r="A1201" s="3">
        <f>IF(F1201="","",COUNTA($F$1097:F1201))</f>
        <v>102</v>
      </c>
      <c r="B1201" s="58" t="s">
        <v>2148</v>
      </c>
      <c r="C1201" s="3" t="s">
        <v>2793</v>
      </c>
      <c r="D1201" s="97" t="s">
        <v>1579</v>
      </c>
      <c r="E1201" s="285">
        <v>63000</v>
      </c>
      <c r="F1201" s="286">
        <v>57272.727272727265</v>
      </c>
      <c r="G1201" s="125">
        <f t="shared" si="38"/>
        <v>0.10000000000000016</v>
      </c>
      <c r="H1201" s="241"/>
    </row>
    <row r="1202" spans="1:8" ht="16.5">
      <c r="A1202" s="3">
        <f>IF(F1202="","",COUNTA($F$1097:F1202))</f>
        <v>103</v>
      </c>
      <c r="B1202" s="58" t="s">
        <v>2149</v>
      </c>
      <c r="C1202" s="3" t="s">
        <v>2793</v>
      </c>
      <c r="D1202" s="97" t="s">
        <v>2178</v>
      </c>
      <c r="E1202" s="285">
        <v>66000</v>
      </c>
      <c r="F1202" s="286">
        <v>59999.99999999999</v>
      </c>
      <c r="G1202" s="125">
        <f t="shared" si="38"/>
        <v>0.10000000000000013</v>
      </c>
      <c r="H1202" s="241"/>
    </row>
    <row r="1203" spans="1:8" ht="16.5">
      <c r="A1203" s="3">
        <f>IF(F1203="","",COUNTA($F$1097:F1203))</f>
        <v>104</v>
      </c>
      <c r="B1203" s="58" t="s">
        <v>2150</v>
      </c>
      <c r="C1203" s="3" t="s">
        <v>2793</v>
      </c>
      <c r="D1203" s="97" t="s">
        <v>1579</v>
      </c>
      <c r="E1203" s="285">
        <v>72000</v>
      </c>
      <c r="F1203" s="286">
        <v>65454.5454545454</v>
      </c>
      <c r="G1203" s="125">
        <f t="shared" si="38"/>
        <v>0.10000000000000095</v>
      </c>
      <c r="H1203" s="241"/>
    </row>
    <row r="1204" spans="1:8" ht="16.5">
      <c r="A1204" s="3">
        <f>IF(F1204="","",COUNTA($F$1097:F1204))</f>
        <v>105</v>
      </c>
      <c r="B1204" s="58" t="s">
        <v>2152</v>
      </c>
      <c r="C1204" s="3" t="s">
        <v>2793</v>
      </c>
      <c r="D1204" s="97" t="s">
        <v>2178</v>
      </c>
      <c r="E1204" s="285">
        <v>74500</v>
      </c>
      <c r="F1204" s="286">
        <v>67727.27272727272</v>
      </c>
      <c r="G1204" s="125">
        <f t="shared" si="38"/>
        <v>0.1000000000000001</v>
      </c>
      <c r="H1204" s="241"/>
    </row>
    <row r="1205" spans="1:8" ht="16.5">
      <c r="A1205" s="3">
        <f>IF(F1205="","",COUNTA($F$1097:F1205))</f>
        <v>106</v>
      </c>
      <c r="B1205" s="58" t="s">
        <v>3103</v>
      </c>
      <c r="C1205" s="3" t="s">
        <v>2793</v>
      </c>
      <c r="D1205" s="97" t="s">
        <v>2178</v>
      </c>
      <c r="E1205" s="285">
        <v>88000</v>
      </c>
      <c r="F1205" s="286">
        <v>80000</v>
      </c>
      <c r="G1205" s="125">
        <f t="shared" si="38"/>
        <v>0.1</v>
      </c>
      <c r="H1205" s="241"/>
    </row>
    <row r="1206" spans="1:8" ht="16.5">
      <c r="A1206" s="3">
        <f>IF(F1206="","",COUNTA($F$1097:F1206))</f>
        <v>107</v>
      </c>
      <c r="B1206" s="58" t="s">
        <v>3104</v>
      </c>
      <c r="C1206" s="3" t="s">
        <v>2793</v>
      </c>
      <c r="D1206" s="97" t="s">
        <v>1579</v>
      </c>
      <c r="E1206" s="285">
        <v>74000</v>
      </c>
      <c r="F1206" s="286">
        <v>67272.72727272726</v>
      </c>
      <c r="G1206" s="125">
        <f t="shared" si="38"/>
        <v>0.10000000000000013</v>
      </c>
      <c r="H1206" s="241"/>
    </row>
    <row r="1207" spans="1:8" ht="16.5">
      <c r="A1207" s="3">
        <f>IF(F1207="","",COUNTA($F$1097:F1207))</f>
        <v>108</v>
      </c>
      <c r="B1207" s="58" t="s">
        <v>3105</v>
      </c>
      <c r="C1207" s="3" t="s">
        <v>2793</v>
      </c>
      <c r="D1207" s="97" t="s">
        <v>2178</v>
      </c>
      <c r="E1207" s="285">
        <v>84000</v>
      </c>
      <c r="F1207" s="286">
        <v>76363.63636363635</v>
      </c>
      <c r="G1207" s="125">
        <f t="shared" si="38"/>
        <v>0.10000000000000016</v>
      </c>
      <c r="H1207" s="241"/>
    </row>
    <row r="1208" spans="1:8" ht="16.5">
      <c r="A1208" s="3">
        <f>IF(F1208="","",COUNTA($F$1097:F1208))</f>
        <v>109</v>
      </c>
      <c r="B1208" s="58" t="s">
        <v>3106</v>
      </c>
      <c r="C1208" s="3" t="s">
        <v>2793</v>
      </c>
      <c r="D1208" s="97" t="s">
        <v>1579</v>
      </c>
      <c r="E1208" s="285">
        <v>75500</v>
      </c>
      <c r="F1208" s="286">
        <v>68636.36363636363</v>
      </c>
      <c r="G1208" s="125">
        <f t="shared" si="38"/>
        <v>0.10000000000000006</v>
      </c>
      <c r="H1208" s="241"/>
    </row>
    <row r="1209" spans="1:8" ht="16.5">
      <c r="A1209" s="3">
        <f>IF(F1209="","",COUNTA($F$1097:F1209))</f>
        <v>110</v>
      </c>
      <c r="B1209" s="58" t="s">
        <v>3107</v>
      </c>
      <c r="C1209" s="3" t="s">
        <v>2793</v>
      </c>
      <c r="D1209" s="97" t="s">
        <v>2178</v>
      </c>
      <c r="E1209" s="285">
        <v>83000</v>
      </c>
      <c r="F1209" s="286">
        <v>75454.54545454544</v>
      </c>
      <c r="G1209" s="125">
        <f t="shared" si="38"/>
        <v>0.10000000000000019</v>
      </c>
      <c r="H1209" s="241"/>
    </row>
    <row r="1210" spans="1:8" ht="16.5">
      <c r="A1210" s="3">
        <f>IF(F1210="","",COUNTA($F$1097:F1210))</f>
        <v>111</v>
      </c>
      <c r="B1210" s="58" t="s">
        <v>3108</v>
      </c>
      <c r="C1210" s="3" t="s">
        <v>2793</v>
      </c>
      <c r="D1210" s="97" t="s">
        <v>1579</v>
      </c>
      <c r="E1210" s="285">
        <v>83500</v>
      </c>
      <c r="F1210" s="286">
        <v>75909.0909090909</v>
      </c>
      <c r="G1210" s="125">
        <f t="shared" si="38"/>
        <v>0.10000000000000017</v>
      </c>
      <c r="H1210" s="241"/>
    </row>
    <row r="1211" spans="1:8" ht="16.5">
      <c r="A1211" s="3">
        <f>IF(F1211="","",COUNTA($F$1097:F1211))</f>
        <v>112</v>
      </c>
      <c r="B1211" s="58" t="s">
        <v>3109</v>
      </c>
      <c r="C1211" s="3" t="s">
        <v>2793</v>
      </c>
      <c r="D1211" s="97" t="s">
        <v>2178</v>
      </c>
      <c r="E1211" s="285">
        <v>92000</v>
      </c>
      <c r="F1211" s="286">
        <v>83636.36363636363</v>
      </c>
      <c r="G1211" s="125">
        <f t="shared" si="38"/>
        <v>0.10000000000000005</v>
      </c>
      <c r="H1211" s="241"/>
    </row>
    <row r="1212" spans="1:8" ht="16.5">
      <c r="A1212" s="3">
        <f>IF(F1212="","",COUNTA($F$1097:F1212))</f>
        <v>113</v>
      </c>
      <c r="B1212" s="58" t="s">
        <v>3110</v>
      </c>
      <c r="C1212" s="3" t="s">
        <v>2793</v>
      </c>
      <c r="D1212" s="97" t="s">
        <v>2178</v>
      </c>
      <c r="E1212" s="285">
        <v>102000</v>
      </c>
      <c r="F1212" s="286">
        <v>92727.27272727272</v>
      </c>
      <c r="G1212" s="125">
        <f t="shared" si="38"/>
        <v>0.10000000000000007</v>
      </c>
      <c r="H1212" s="241"/>
    </row>
    <row r="1213" spans="1:8" ht="16.5">
      <c r="A1213" s="3">
        <f>IF(F1213="","",COUNTA($F$1097:F1213))</f>
        <v>114</v>
      </c>
      <c r="B1213" s="58" t="s">
        <v>2164</v>
      </c>
      <c r="C1213" s="3" t="s">
        <v>2793</v>
      </c>
      <c r="D1213" s="97" t="s">
        <v>2177</v>
      </c>
      <c r="E1213" s="285">
        <v>116000</v>
      </c>
      <c r="F1213" s="286">
        <v>105454.54545454544</v>
      </c>
      <c r="G1213" s="125">
        <f t="shared" si="38"/>
        <v>0.10000000000000014</v>
      </c>
      <c r="H1213" s="241"/>
    </row>
    <row r="1214" spans="1:8" ht="16.5">
      <c r="A1214" s="3">
        <f>IF(F1214="","",COUNTA($F$1097:F1214))</f>
        <v>115</v>
      </c>
      <c r="B1214" s="58" t="s">
        <v>3111</v>
      </c>
      <c r="C1214" s="3" t="s">
        <v>2793</v>
      </c>
      <c r="D1214" s="97" t="s">
        <v>1579</v>
      </c>
      <c r="E1214" s="285">
        <v>93000</v>
      </c>
      <c r="F1214" s="286">
        <v>84545.45454545454</v>
      </c>
      <c r="G1214" s="125">
        <f t="shared" si="38"/>
        <v>0.10000000000000002</v>
      </c>
      <c r="H1214" s="241"/>
    </row>
    <row r="1215" spans="1:8" ht="16.5">
      <c r="A1215" s="3">
        <f>IF(F1215="","",COUNTA($F$1097:F1215))</f>
        <v>116</v>
      </c>
      <c r="B1215" s="58" t="s">
        <v>3112</v>
      </c>
      <c r="C1215" s="3" t="s">
        <v>2793</v>
      </c>
      <c r="D1215" s="97" t="s">
        <v>2178</v>
      </c>
      <c r="E1215" s="285">
        <v>103000</v>
      </c>
      <c r="F1215" s="286">
        <v>93636.36363636363</v>
      </c>
      <c r="G1215" s="125">
        <f t="shared" si="38"/>
        <v>0.10000000000000005</v>
      </c>
      <c r="H1215" s="241"/>
    </row>
    <row r="1216" spans="1:8" ht="16.5">
      <c r="A1216" s="3">
        <f>IF(F1216="","",COUNTA($F$1097:F1216))</f>
        <v>117</v>
      </c>
      <c r="B1216" s="58" t="s">
        <v>3113</v>
      </c>
      <c r="C1216" s="3" t="s">
        <v>2793</v>
      </c>
      <c r="D1216" s="97" t="s">
        <v>2178</v>
      </c>
      <c r="E1216" s="285">
        <v>116500</v>
      </c>
      <c r="F1216" s="286">
        <v>105909.0909090909</v>
      </c>
      <c r="G1216" s="125">
        <f t="shared" si="38"/>
        <v>0.10000000000000013</v>
      </c>
      <c r="H1216" s="241"/>
    </row>
    <row r="1217" spans="1:8" ht="16.5">
      <c r="A1217" s="3">
        <f>IF(F1217="","",COUNTA($F$1097:F1217))</f>
        <v>118</v>
      </c>
      <c r="B1217" s="58" t="s">
        <v>3114</v>
      </c>
      <c r="C1217" s="3" t="s">
        <v>2793</v>
      </c>
      <c r="D1217" s="97" t="s">
        <v>1579</v>
      </c>
      <c r="E1217" s="285">
        <v>99000</v>
      </c>
      <c r="F1217" s="286">
        <v>90000</v>
      </c>
      <c r="G1217" s="125">
        <f t="shared" si="38"/>
        <v>0.1</v>
      </c>
      <c r="H1217" s="241"/>
    </row>
    <row r="1218" spans="1:8" ht="16.5">
      <c r="A1218" s="3">
        <f>IF(F1218="","",COUNTA($F$1097:F1218))</f>
        <v>119</v>
      </c>
      <c r="B1218" s="58" t="s">
        <v>3115</v>
      </c>
      <c r="C1218" s="3" t="s">
        <v>2793</v>
      </c>
      <c r="D1218" s="97" t="s">
        <v>2178</v>
      </c>
      <c r="E1218" s="285">
        <v>111000</v>
      </c>
      <c r="F1218" s="286">
        <v>100909.0909090909</v>
      </c>
      <c r="G1218" s="125">
        <f t="shared" si="38"/>
        <v>0.10000000000000013</v>
      </c>
      <c r="H1218" s="241"/>
    </row>
    <row r="1219" spans="1:8" ht="16.5">
      <c r="A1219" s="3">
        <f>IF(F1219="","",COUNTA($F$1097:F1219))</f>
        <v>120</v>
      </c>
      <c r="B1219" s="58" t="s">
        <v>3116</v>
      </c>
      <c r="C1219" s="3" t="s">
        <v>2793</v>
      </c>
      <c r="D1219" s="97" t="s">
        <v>1579</v>
      </c>
      <c r="E1219" s="285">
        <v>111000</v>
      </c>
      <c r="F1219" s="286">
        <v>100909.0909090909</v>
      </c>
      <c r="G1219" s="125">
        <f t="shared" si="38"/>
        <v>0.10000000000000013</v>
      </c>
      <c r="H1219" s="241"/>
    </row>
    <row r="1220" spans="1:8" ht="16.5">
      <c r="A1220" s="3">
        <f>IF(F1220="","",COUNTA($F$1097:F1220))</f>
        <v>121</v>
      </c>
      <c r="B1220" s="58" t="s">
        <v>3117</v>
      </c>
      <c r="C1220" s="3" t="s">
        <v>2793</v>
      </c>
      <c r="D1220" s="97" t="s">
        <v>2178</v>
      </c>
      <c r="E1220" s="285">
        <v>123000</v>
      </c>
      <c r="F1220" s="286">
        <v>111818.18181818181</v>
      </c>
      <c r="G1220" s="125">
        <f t="shared" si="38"/>
        <v>0.10000000000000009</v>
      </c>
      <c r="H1220" s="241"/>
    </row>
    <row r="1221" spans="1:8" ht="16.5">
      <c r="A1221" s="3">
        <f>IF(F1221="","",COUNTA($F$1097:F1221))</f>
        <v>122</v>
      </c>
      <c r="B1221" s="58" t="s">
        <v>3118</v>
      </c>
      <c r="C1221" s="3" t="s">
        <v>2793</v>
      </c>
      <c r="D1221" s="97" t="s">
        <v>1579</v>
      </c>
      <c r="E1221" s="285">
        <v>128000</v>
      </c>
      <c r="F1221" s="286">
        <v>116363.63636363635</v>
      </c>
      <c r="G1221" s="125">
        <f t="shared" si="38"/>
        <v>0.1000000000000001</v>
      </c>
      <c r="H1221" s="241"/>
    </row>
    <row r="1222" spans="1:8" ht="16.5">
      <c r="A1222" s="3">
        <f>IF(F1222="","",COUNTA($F$1097:F1222))</f>
        <v>123</v>
      </c>
      <c r="B1222" s="58" t="s">
        <v>2168</v>
      </c>
      <c r="C1222" s="3"/>
      <c r="D1222" s="97" t="s">
        <v>2178</v>
      </c>
      <c r="E1222" s="285">
        <v>176000</v>
      </c>
      <c r="F1222" s="286">
        <v>160000</v>
      </c>
      <c r="G1222" s="125">
        <f t="shared" si="38"/>
        <v>0.1</v>
      </c>
      <c r="H1222" s="241"/>
    </row>
    <row r="1223" spans="1:8" ht="17.25">
      <c r="A1223" s="3">
        <f>IF(F1223="","",COUNTA($F$1097:F1223))</f>
      </c>
      <c r="B1223" s="35" t="s">
        <v>3102</v>
      </c>
      <c r="E1223" s="16"/>
      <c r="F1223" s="288"/>
      <c r="G1223" s="125"/>
      <c r="H1223" s="241"/>
    </row>
    <row r="1224" spans="1:8" ht="16.5">
      <c r="A1224" s="3">
        <f>IF(F1224="","",COUNTA($F$1097:F1224))</f>
        <v>124</v>
      </c>
      <c r="B1224" s="58" t="s">
        <v>2170</v>
      </c>
      <c r="C1224" s="3" t="s">
        <v>2793</v>
      </c>
      <c r="D1224" s="97" t="s">
        <v>1579</v>
      </c>
      <c r="E1224" s="285">
        <v>101000</v>
      </c>
      <c r="F1224" s="286">
        <v>91818.18181818181</v>
      </c>
      <c r="G1224" s="125">
        <f t="shared" si="38"/>
        <v>0.10000000000000012</v>
      </c>
      <c r="H1224" s="241"/>
    </row>
    <row r="1225" spans="1:8" ht="16.5">
      <c r="A1225" s="3">
        <f>IF(F1225="","",COUNTA($F$1097:F1225))</f>
        <v>125</v>
      </c>
      <c r="B1225" s="58" t="s">
        <v>2171</v>
      </c>
      <c r="C1225" s="3" t="s">
        <v>2793</v>
      </c>
      <c r="D1225" s="97" t="s">
        <v>2178</v>
      </c>
      <c r="E1225" s="285">
        <v>111000</v>
      </c>
      <c r="F1225" s="286">
        <v>100909.0909090909</v>
      </c>
      <c r="G1225" s="125">
        <f t="shared" si="38"/>
        <v>0.10000000000000013</v>
      </c>
      <c r="H1225" s="241"/>
    </row>
    <row r="1226" spans="1:8" ht="16.5">
      <c r="A1226" s="3">
        <f>IF(F1226="","",COUNTA($F$1097:F1226))</f>
        <v>126</v>
      </c>
      <c r="B1226" s="58" t="s">
        <v>2172</v>
      </c>
      <c r="C1226" s="3" t="s">
        <v>2793</v>
      </c>
      <c r="D1226" s="97" t="s">
        <v>2178</v>
      </c>
      <c r="E1226" s="285">
        <v>122500</v>
      </c>
      <c r="F1226" s="286">
        <v>111363.63636363635</v>
      </c>
      <c r="G1226" s="125">
        <f t="shared" si="38"/>
        <v>0.1000000000000001</v>
      </c>
      <c r="H1226" s="241"/>
    </row>
    <row r="1227" spans="1:8" ht="16.5">
      <c r="A1227" s="3">
        <f>IF(F1227="","",COUNTA($F$1097:F1227))</f>
        <v>127</v>
      </c>
      <c r="B1227" s="58" t="s">
        <v>2173</v>
      </c>
      <c r="C1227" s="3" t="s">
        <v>2793</v>
      </c>
      <c r="D1227" s="97" t="s">
        <v>2178</v>
      </c>
      <c r="E1227" s="285">
        <v>131500</v>
      </c>
      <c r="F1227" s="286">
        <v>119545.45454545453</v>
      </c>
      <c r="G1227" s="125">
        <f t="shared" si="38"/>
        <v>0.10000000000000014</v>
      </c>
      <c r="H1227" s="241"/>
    </row>
    <row r="1228" spans="1:8" ht="16.5">
      <c r="A1228" s="3">
        <f>IF(F1228="","",COUNTA($F$1097:F1228))</f>
        <v>128</v>
      </c>
      <c r="B1228" s="58" t="s">
        <v>2174</v>
      </c>
      <c r="C1228" s="3" t="s">
        <v>2793</v>
      </c>
      <c r="D1228" s="97" t="s">
        <v>2178</v>
      </c>
      <c r="E1228" s="285">
        <v>150000</v>
      </c>
      <c r="F1228" s="286">
        <v>136363.63636363635</v>
      </c>
      <c r="G1228" s="125">
        <f t="shared" si="38"/>
        <v>0.10000000000000009</v>
      </c>
      <c r="H1228" s="241"/>
    </row>
    <row r="1229" spans="1:8" ht="16.5">
      <c r="A1229" s="3">
        <f>IF(F1229="","",COUNTA($F$1097:F1229))</f>
        <v>129</v>
      </c>
      <c r="B1229" s="58" t="s">
        <v>2175</v>
      </c>
      <c r="C1229" s="3" t="s">
        <v>2793</v>
      </c>
      <c r="D1229" s="97" t="s">
        <v>2178</v>
      </c>
      <c r="E1229" s="285">
        <v>168500</v>
      </c>
      <c r="F1229" s="286">
        <v>153181.81818181818</v>
      </c>
      <c r="G1229" s="125">
        <f t="shared" si="38"/>
        <v>0.10000000000000003</v>
      </c>
      <c r="H1229" s="241"/>
    </row>
    <row r="1230" spans="1:8" ht="16.5">
      <c r="A1230" s="3">
        <f>IF(F1230="","",COUNTA($F$1097:F1230))</f>
        <v>130</v>
      </c>
      <c r="B1230" s="58" t="s">
        <v>2176</v>
      </c>
      <c r="C1230" s="3" t="s">
        <v>2793</v>
      </c>
      <c r="D1230" s="97" t="s">
        <v>2178</v>
      </c>
      <c r="E1230" s="285">
        <v>176000</v>
      </c>
      <c r="F1230" s="286">
        <v>160000</v>
      </c>
      <c r="G1230" s="125">
        <f t="shared" si="38"/>
        <v>0.1</v>
      </c>
      <c r="H1230" s="241"/>
    </row>
    <row r="1231" spans="1:8" ht="16.5">
      <c r="A1231" s="20" t="s">
        <v>12</v>
      </c>
      <c r="B1231" s="144" t="s">
        <v>3190</v>
      </c>
      <c r="D1231" s="97"/>
      <c r="E1231" s="6"/>
      <c r="F1231" s="94"/>
      <c r="G1231" s="125"/>
      <c r="H1231" s="241" t="s">
        <v>389</v>
      </c>
    </row>
    <row r="1232" spans="1:8" ht="17.25">
      <c r="A1232" s="3"/>
      <c r="B1232" s="47" t="s">
        <v>390</v>
      </c>
      <c r="C1232" s="21" t="s">
        <v>1135</v>
      </c>
      <c r="D1232" s="253" t="s">
        <v>392</v>
      </c>
      <c r="E1232" s="6"/>
      <c r="F1232" s="94"/>
      <c r="G1232" s="125"/>
      <c r="H1232" s="241"/>
    </row>
    <row r="1233" spans="1:8" ht="33">
      <c r="A1233" s="3">
        <f>IF(E1233="","",COUNTA($E$1233:E1233))</f>
        <v>1</v>
      </c>
      <c r="B1233" s="42" t="s">
        <v>393</v>
      </c>
      <c r="C1233" s="21" t="s">
        <v>1135</v>
      </c>
      <c r="D1233" s="254"/>
      <c r="E1233" s="6">
        <v>110000</v>
      </c>
      <c r="F1233" s="94">
        <v>110000</v>
      </c>
      <c r="G1233" s="125">
        <f aca="true" t="shared" si="39" ref="G1233:G1281">(E1233-F1233)/E1233</f>
        <v>0</v>
      </c>
      <c r="H1233" s="241"/>
    </row>
    <row r="1234" spans="1:8" ht="16.5">
      <c r="A1234" s="3">
        <f>IF(E1234="","",COUNTA($E$1233:E1234))</f>
        <v>2</v>
      </c>
      <c r="B1234" s="58" t="s">
        <v>398</v>
      </c>
      <c r="C1234" s="21" t="s">
        <v>1135</v>
      </c>
      <c r="D1234" s="254"/>
      <c r="E1234" s="6">
        <v>125000</v>
      </c>
      <c r="F1234" s="94">
        <v>125000</v>
      </c>
      <c r="G1234" s="125">
        <f t="shared" si="39"/>
        <v>0</v>
      </c>
      <c r="H1234" s="241"/>
    </row>
    <row r="1235" spans="1:8" ht="33">
      <c r="A1235" s="3">
        <f>IF(E1235="","",COUNTA($E$1233:E1235))</f>
        <v>3</v>
      </c>
      <c r="B1235" s="42" t="s">
        <v>394</v>
      </c>
      <c r="C1235" s="21" t="s">
        <v>1135</v>
      </c>
      <c r="D1235" s="254"/>
      <c r="E1235" s="6">
        <v>119000</v>
      </c>
      <c r="F1235" s="94">
        <v>119000</v>
      </c>
      <c r="G1235" s="125">
        <f t="shared" si="39"/>
        <v>0</v>
      </c>
      <c r="H1235" s="241"/>
    </row>
    <row r="1236" spans="1:8" ht="33">
      <c r="A1236" s="3">
        <f>IF(E1236="","",COUNTA($E$1233:E1236))</f>
        <v>4</v>
      </c>
      <c r="B1236" s="42" t="s">
        <v>399</v>
      </c>
      <c r="C1236" s="21" t="s">
        <v>1135</v>
      </c>
      <c r="D1236" s="254"/>
      <c r="E1236" s="6">
        <v>136000</v>
      </c>
      <c r="F1236" s="94">
        <v>136000</v>
      </c>
      <c r="G1236" s="125">
        <f t="shared" si="39"/>
        <v>0</v>
      </c>
      <c r="H1236" s="241"/>
    </row>
    <row r="1237" spans="1:8" ht="33">
      <c r="A1237" s="3">
        <f>IF(E1237="","",COUNTA($E$1233:E1237))</f>
        <v>5</v>
      </c>
      <c r="B1237" s="42" t="s">
        <v>395</v>
      </c>
      <c r="C1237" s="21" t="s">
        <v>1135</v>
      </c>
      <c r="D1237" s="254"/>
      <c r="E1237" s="6">
        <v>122000</v>
      </c>
      <c r="F1237" s="94">
        <v>122000</v>
      </c>
      <c r="G1237" s="125">
        <f t="shared" si="39"/>
        <v>0</v>
      </c>
      <c r="H1237" s="241"/>
    </row>
    <row r="1238" spans="1:8" ht="33">
      <c r="A1238" s="3">
        <f>IF(E1238="","",COUNTA($E$1233:E1238))</f>
        <v>6</v>
      </c>
      <c r="B1238" s="42" t="s">
        <v>400</v>
      </c>
      <c r="C1238" s="21" t="s">
        <v>1135</v>
      </c>
      <c r="D1238" s="254"/>
      <c r="E1238" s="6">
        <v>136000</v>
      </c>
      <c r="F1238" s="94">
        <v>136000</v>
      </c>
      <c r="G1238" s="125">
        <f t="shared" si="39"/>
        <v>0</v>
      </c>
      <c r="H1238" s="241"/>
    </row>
    <row r="1239" spans="1:8" ht="33">
      <c r="A1239" s="3">
        <f>IF(E1239="","",COUNTA($E$1233:E1239))</f>
        <v>7</v>
      </c>
      <c r="B1239" s="42" t="s">
        <v>396</v>
      </c>
      <c r="C1239" s="21" t="s">
        <v>1135</v>
      </c>
      <c r="D1239" s="254"/>
      <c r="E1239" s="6">
        <v>119000</v>
      </c>
      <c r="F1239" s="94">
        <v>119000</v>
      </c>
      <c r="G1239" s="125">
        <f t="shared" si="39"/>
        <v>0</v>
      </c>
      <c r="H1239" s="241"/>
    </row>
    <row r="1240" spans="1:8" ht="33">
      <c r="A1240" s="3">
        <f>IF(E1240="","",COUNTA($E$1233:E1240))</f>
        <v>8</v>
      </c>
      <c r="B1240" s="42" t="s">
        <v>401</v>
      </c>
      <c r="C1240" s="21" t="s">
        <v>1135</v>
      </c>
      <c r="D1240" s="254"/>
      <c r="E1240" s="6">
        <v>133000</v>
      </c>
      <c r="F1240" s="94">
        <v>133000</v>
      </c>
      <c r="G1240" s="125">
        <f t="shared" si="39"/>
        <v>0</v>
      </c>
      <c r="H1240" s="241"/>
    </row>
    <row r="1241" spans="1:8" ht="33">
      <c r="A1241" s="3">
        <f>IF(E1241="","",COUNTA($E$1233:E1241))</f>
        <v>9</v>
      </c>
      <c r="B1241" s="42" t="s">
        <v>397</v>
      </c>
      <c r="C1241" s="21" t="s">
        <v>1135</v>
      </c>
      <c r="D1241" s="255"/>
      <c r="E1241" s="6">
        <v>114000</v>
      </c>
      <c r="F1241" s="94">
        <v>114000</v>
      </c>
      <c r="G1241" s="125">
        <f t="shared" si="39"/>
        <v>0</v>
      </c>
      <c r="H1241" s="241"/>
    </row>
    <row r="1242" spans="1:8" ht="33">
      <c r="A1242" s="3">
        <f>IF(E1242="","",COUNTA($E$1233:E1242))</f>
        <v>10</v>
      </c>
      <c r="B1242" s="42" t="s">
        <v>402</v>
      </c>
      <c r="D1242" s="145"/>
      <c r="E1242" s="6">
        <v>128000</v>
      </c>
      <c r="F1242" s="94">
        <v>128000</v>
      </c>
      <c r="G1242" s="125">
        <f t="shared" si="39"/>
        <v>0</v>
      </c>
      <c r="H1242" s="241"/>
    </row>
    <row r="1243" spans="1:8" ht="17.25">
      <c r="A1243" s="3">
        <f>IF(E1243="","",COUNTA($E$1233:E1243))</f>
      </c>
      <c r="B1243" s="47" t="s">
        <v>391</v>
      </c>
      <c r="D1243" s="97"/>
      <c r="E1243" s="6"/>
      <c r="F1243" s="94"/>
      <c r="G1243" s="125"/>
      <c r="H1243" s="241"/>
    </row>
    <row r="1244" spans="1:8" ht="49.5">
      <c r="A1244" s="3">
        <f>IF(E1244="","",COUNTA($E$1233:E1244))</f>
        <v>11</v>
      </c>
      <c r="B1244" s="42" t="s">
        <v>404</v>
      </c>
      <c r="C1244" s="21" t="s">
        <v>1135</v>
      </c>
      <c r="D1244" s="253" t="s">
        <v>392</v>
      </c>
      <c r="E1244" s="6">
        <v>101000</v>
      </c>
      <c r="F1244" s="94">
        <v>101000</v>
      </c>
      <c r="G1244" s="125">
        <f t="shared" si="39"/>
        <v>0</v>
      </c>
      <c r="H1244" s="241"/>
    </row>
    <row r="1245" spans="1:8" ht="49.5">
      <c r="A1245" s="3">
        <f>IF(E1245="","",COUNTA($E$1233:E1245))</f>
        <v>12</v>
      </c>
      <c r="B1245" s="42" t="s">
        <v>403</v>
      </c>
      <c r="C1245" s="21" t="s">
        <v>1135</v>
      </c>
      <c r="D1245" s="254"/>
      <c r="E1245" s="6">
        <v>128000</v>
      </c>
      <c r="F1245" s="94">
        <v>128000</v>
      </c>
      <c r="G1245" s="125">
        <f t="shared" si="39"/>
        <v>0</v>
      </c>
      <c r="H1245" s="241"/>
    </row>
    <row r="1246" spans="1:8" ht="49.5">
      <c r="A1246" s="3">
        <f>IF(E1246="","",COUNTA($E$1233:E1246))</f>
        <v>13</v>
      </c>
      <c r="B1246" s="42" t="s">
        <v>405</v>
      </c>
      <c r="C1246" s="21" t="s">
        <v>1135</v>
      </c>
      <c r="D1246" s="254"/>
      <c r="E1246" s="6">
        <v>105300</v>
      </c>
      <c r="F1246" s="94">
        <v>105300</v>
      </c>
      <c r="G1246" s="125">
        <f t="shared" si="39"/>
        <v>0</v>
      </c>
      <c r="H1246" s="241"/>
    </row>
    <row r="1247" spans="1:8" ht="49.5">
      <c r="A1247" s="3">
        <f>IF(E1247="","",COUNTA($E$1233:E1247))</f>
        <v>14</v>
      </c>
      <c r="B1247" s="42" t="s">
        <v>406</v>
      </c>
      <c r="C1247" s="21" t="s">
        <v>1135</v>
      </c>
      <c r="D1247" s="255"/>
      <c r="E1247" s="6">
        <v>128000</v>
      </c>
      <c r="F1247" s="94">
        <v>128000</v>
      </c>
      <c r="G1247" s="125">
        <f t="shared" si="39"/>
        <v>0</v>
      </c>
      <c r="H1247" s="241"/>
    </row>
    <row r="1248" spans="1:7" ht="16.5">
      <c r="A1248" s="12" t="s">
        <v>1509</v>
      </c>
      <c r="B1248" s="36" t="s">
        <v>1507</v>
      </c>
      <c r="E1248" s="13"/>
      <c r="F1248" s="13"/>
      <c r="G1248" s="125"/>
    </row>
    <row r="1249" spans="1:8" ht="17.25">
      <c r="A1249" s="3">
        <f>IF(F1249="","",COUNTA($F$1249:F1249))</f>
      </c>
      <c r="B1249" s="30" t="s">
        <v>1760</v>
      </c>
      <c r="E1249" s="13"/>
      <c r="F1249" s="13"/>
      <c r="G1249" s="125"/>
      <c r="H1249" s="247" t="s">
        <v>1759</v>
      </c>
    </row>
    <row r="1250" spans="1:8" ht="16.5">
      <c r="A1250" s="3">
        <f>IF(F1250="","",COUNTA($F$1249:F1250))</f>
        <v>1</v>
      </c>
      <c r="B1250" s="24" t="s">
        <v>1761</v>
      </c>
      <c r="C1250" s="21" t="s">
        <v>2792</v>
      </c>
      <c r="E1250" s="13">
        <v>5800</v>
      </c>
      <c r="F1250" s="13">
        <v>5800</v>
      </c>
      <c r="G1250" s="125">
        <f t="shared" si="39"/>
        <v>0</v>
      </c>
      <c r="H1250" s="247"/>
    </row>
    <row r="1251" spans="1:8" ht="16.5">
      <c r="A1251" s="3">
        <f>IF(F1251="","",COUNTA($F$1249:F1251))</f>
        <v>2</v>
      </c>
      <c r="B1251" s="24" t="s">
        <v>1762</v>
      </c>
      <c r="C1251" s="21" t="s">
        <v>2792</v>
      </c>
      <c r="E1251" s="13">
        <v>9200</v>
      </c>
      <c r="F1251" s="13">
        <v>9200</v>
      </c>
      <c r="G1251" s="125">
        <f t="shared" si="39"/>
        <v>0</v>
      </c>
      <c r="H1251" s="247"/>
    </row>
    <row r="1252" spans="1:8" ht="16.5">
      <c r="A1252" s="3">
        <f>IF(F1252="","",COUNTA($F$1249:F1252))</f>
        <v>3</v>
      </c>
      <c r="B1252" s="24" t="s">
        <v>1763</v>
      </c>
      <c r="C1252" s="21" t="s">
        <v>2792</v>
      </c>
      <c r="E1252" s="13">
        <v>7100</v>
      </c>
      <c r="F1252" s="13">
        <v>7100</v>
      </c>
      <c r="G1252" s="125">
        <f t="shared" si="39"/>
        <v>0</v>
      </c>
      <c r="H1252" s="247"/>
    </row>
    <row r="1253" spans="1:8" ht="16.5">
      <c r="A1253" s="3">
        <f>IF(F1253="","",COUNTA($F$1249:F1253))</f>
        <v>4</v>
      </c>
      <c r="B1253" s="24" t="s">
        <v>1764</v>
      </c>
      <c r="C1253" s="21" t="s">
        <v>2792</v>
      </c>
      <c r="E1253" s="13">
        <v>10500</v>
      </c>
      <c r="F1253" s="13">
        <v>10500</v>
      </c>
      <c r="G1253" s="125">
        <f t="shared" si="39"/>
        <v>0</v>
      </c>
      <c r="H1253" s="247"/>
    </row>
    <row r="1254" spans="1:8" ht="16.5">
      <c r="A1254" s="3">
        <f>IF(F1254="","",COUNTA($F$1249:F1254))</f>
        <v>5</v>
      </c>
      <c r="B1254" s="24" t="s">
        <v>1765</v>
      </c>
      <c r="C1254" s="21" t="s">
        <v>2792</v>
      </c>
      <c r="E1254" s="13">
        <v>11700</v>
      </c>
      <c r="F1254" s="13">
        <v>11700</v>
      </c>
      <c r="G1254" s="125">
        <f t="shared" si="39"/>
        <v>0</v>
      </c>
      <c r="H1254" s="247"/>
    </row>
    <row r="1255" spans="1:8" ht="16.5">
      <c r="A1255" s="3">
        <f>IF(F1255="","",COUNTA($F$1249:F1255))</f>
        <v>6</v>
      </c>
      <c r="B1255" s="24" t="s">
        <v>1766</v>
      </c>
      <c r="C1255" s="21" t="s">
        <v>2792</v>
      </c>
      <c r="E1255" s="13">
        <v>9200</v>
      </c>
      <c r="F1255" s="13">
        <v>9200</v>
      </c>
      <c r="G1255" s="125">
        <f t="shared" si="39"/>
        <v>0</v>
      </c>
      <c r="H1255" s="247"/>
    </row>
    <row r="1256" spans="1:8" ht="16.5">
      <c r="A1256" s="3">
        <f>IF(F1256="","",COUNTA($F$1249:F1256))</f>
        <v>7</v>
      </c>
      <c r="B1256" s="24" t="s">
        <v>1767</v>
      </c>
      <c r="C1256" s="21" t="s">
        <v>2792</v>
      </c>
      <c r="E1256" s="13">
        <v>13300</v>
      </c>
      <c r="F1256" s="13">
        <v>13300</v>
      </c>
      <c r="G1256" s="125">
        <f t="shared" si="39"/>
        <v>0</v>
      </c>
      <c r="H1256" s="247"/>
    </row>
    <row r="1257" spans="1:8" ht="16.5">
      <c r="A1257" s="3">
        <f>IF(F1257="","",COUNTA($F$1249:F1257))</f>
        <v>8</v>
      </c>
      <c r="B1257" s="24" t="s">
        <v>1768</v>
      </c>
      <c r="C1257" s="21" t="s">
        <v>2792</v>
      </c>
      <c r="E1257" s="13">
        <v>16200</v>
      </c>
      <c r="F1257" s="13">
        <v>16200</v>
      </c>
      <c r="G1257" s="125">
        <f t="shared" si="39"/>
        <v>0</v>
      </c>
      <c r="H1257" s="247"/>
    </row>
    <row r="1258" spans="1:8" ht="16.5">
      <c r="A1258" s="3">
        <f>IF(F1258="","",COUNTA($F$1249:F1258))</f>
        <v>9</v>
      </c>
      <c r="B1258" s="24" t="s">
        <v>1769</v>
      </c>
      <c r="C1258" s="21" t="s">
        <v>2792</v>
      </c>
      <c r="E1258" s="13">
        <v>13700</v>
      </c>
      <c r="F1258" s="13">
        <v>13700</v>
      </c>
      <c r="G1258" s="125">
        <f t="shared" si="39"/>
        <v>0</v>
      </c>
      <c r="H1258" s="247"/>
    </row>
    <row r="1259" spans="1:8" ht="16.5">
      <c r="A1259" s="3">
        <f>IF(F1259="","",COUNTA($F$1249:F1259))</f>
        <v>10</v>
      </c>
      <c r="B1259" s="24" t="s">
        <v>1770</v>
      </c>
      <c r="C1259" s="21" t="s">
        <v>2792</v>
      </c>
      <c r="E1259" s="13">
        <v>18100</v>
      </c>
      <c r="F1259" s="13">
        <v>18100</v>
      </c>
      <c r="G1259" s="125">
        <f t="shared" si="39"/>
        <v>0</v>
      </c>
      <c r="H1259" s="247"/>
    </row>
    <row r="1260" spans="1:8" ht="16.5">
      <c r="A1260" s="3">
        <f>IF(F1260="","",COUNTA($F$1249:F1260))</f>
        <v>11</v>
      </c>
      <c r="B1260" s="24" t="s">
        <v>1771</v>
      </c>
      <c r="C1260" s="21" t="s">
        <v>2792</v>
      </c>
      <c r="E1260" s="13">
        <v>20700</v>
      </c>
      <c r="F1260" s="13">
        <v>20700</v>
      </c>
      <c r="G1260" s="125">
        <f t="shared" si="39"/>
        <v>0</v>
      </c>
      <c r="H1260" s="247"/>
    </row>
    <row r="1261" spans="1:8" ht="16.5">
      <c r="A1261" s="3">
        <f>IF(F1261="","",COUNTA($F$1249:F1261))</f>
        <v>12</v>
      </c>
      <c r="B1261" s="24" t="s">
        <v>1772</v>
      </c>
      <c r="C1261" s="21" t="s">
        <v>2792</v>
      </c>
      <c r="E1261" s="13">
        <v>16200</v>
      </c>
      <c r="F1261" s="13">
        <v>16200</v>
      </c>
      <c r="G1261" s="125">
        <f t="shared" si="39"/>
        <v>0</v>
      </c>
      <c r="H1261" s="247"/>
    </row>
    <row r="1262" spans="1:8" ht="16.5">
      <c r="A1262" s="3">
        <f>IF(F1262="","",COUNTA($F$1249:F1262))</f>
        <v>13</v>
      </c>
      <c r="B1262" s="24" t="s">
        <v>1773</v>
      </c>
      <c r="C1262" s="21" t="s">
        <v>2792</v>
      </c>
      <c r="E1262" s="13">
        <v>21500</v>
      </c>
      <c r="F1262" s="13">
        <v>21500</v>
      </c>
      <c r="G1262" s="125">
        <f t="shared" si="39"/>
        <v>0</v>
      </c>
      <c r="H1262" s="247"/>
    </row>
    <row r="1263" spans="1:8" ht="16.5">
      <c r="A1263" s="3">
        <f>IF(F1263="","",COUNTA($F$1249:F1263))</f>
        <v>14</v>
      </c>
      <c r="B1263" s="24" t="s">
        <v>1774</v>
      </c>
      <c r="C1263" s="21" t="s">
        <v>2792</v>
      </c>
      <c r="E1263" s="13">
        <v>24900</v>
      </c>
      <c r="F1263" s="13">
        <v>24900</v>
      </c>
      <c r="G1263" s="125">
        <f t="shared" si="39"/>
        <v>0</v>
      </c>
      <c r="H1263" s="247"/>
    </row>
    <row r="1264" spans="1:8" ht="16.5">
      <c r="A1264" s="3">
        <f>IF(F1264="","",COUNTA($F$1249:F1264))</f>
        <v>15</v>
      </c>
      <c r="B1264" s="24" t="s">
        <v>1775</v>
      </c>
      <c r="C1264" s="21" t="s">
        <v>2792</v>
      </c>
      <c r="E1264" s="13">
        <v>20900</v>
      </c>
      <c r="F1264" s="13">
        <v>20900</v>
      </c>
      <c r="G1264" s="125">
        <f t="shared" si="39"/>
        <v>0</v>
      </c>
      <c r="H1264" s="247"/>
    </row>
    <row r="1265" spans="1:8" ht="16.5">
      <c r="A1265" s="3">
        <f>IF(F1265="","",COUNTA($F$1249:F1265))</f>
        <v>16</v>
      </c>
      <c r="B1265" s="24" t="s">
        <v>1776</v>
      </c>
      <c r="C1265" s="21" t="s">
        <v>2792</v>
      </c>
      <c r="E1265" s="13">
        <v>30500</v>
      </c>
      <c r="F1265" s="13">
        <v>30500</v>
      </c>
      <c r="G1265" s="125">
        <f t="shared" si="39"/>
        <v>0</v>
      </c>
      <c r="H1265" s="247"/>
    </row>
    <row r="1266" spans="1:8" ht="16.5">
      <c r="A1266" s="3">
        <f>IF(F1266="","",COUNTA($F$1249:F1266))</f>
        <v>17</v>
      </c>
      <c r="B1266" s="24" t="s">
        <v>1777</v>
      </c>
      <c r="C1266" s="21" t="s">
        <v>2792</v>
      </c>
      <c r="E1266" s="13">
        <v>35600</v>
      </c>
      <c r="F1266" s="13">
        <v>35600</v>
      </c>
      <c r="G1266" s="125">
        <f t="shared" si="39"/>
        <v>0</v>
      </c>
      <c r="H1266" s="247"/>
    </row>
    <row r="1267" spans="1:8" ht="16.5">
      <c r="A1267" s="3">
        <f>IF(F1267="","",COUNTA($F$1249:F1267))</f>
        <v>18</v>
      </c>
      <c r="B1267" s="24" t="s">
        <v>1778</v>
      </c>
      <c r="C1267" s="21" t="s">
        <v>2792</v>
      </c>
      <c r="E1267" s="13">
        <v>29400</v>
      </c>
      <c r="F1267" s="13">
        <v>29400</v>
      </c>
      <c r="G1267" s="125">
        <f t="shared" si="39"/>
        <v>0</v>
      </c>
      <c r="H1267" s="247"/>
    </row>
    <row r="1268" spans="1:8" ht="16.5">
      <c r="A1268" s="3">
        <f>IF(F1268="","",COUNTA($F$1249:F1268))</f>
        <v>19</v>
      </c>
      <c r="B1268" s="24" t="s">
        <v>1779</v>
      </c>
      <c r="C1268" s="21" t="s">
        <v>2792</v>
      </c>
      <c r="E1268" s="13">
        <v>34300</v>
      </c>
      <c r="F1268" s="13">
        <v>34300</v>
      </c>
      <c r="G1268" s="125">
        <f t="shared" si="39"/>
        <v>0</v>
      </c>
      <c r="H1268" s="247"/>
    </row>
    <row r="1269" spans="1:8" ht="16.5">
      <c r="A1269" s="3">
        <f>IF(F1269="","",COUNTA($F$1249:F1269))</f>
        <v>20</v>
      </c>
      <c r="B1269" s="24" t="s">
        <v>1780</v>
      </c>
      <c r="C1269" s="21" t="s">
        <v>2792</v>
      </c>
      <c r="E1269" s="13">
        <v>38800</v>
      </c>
      <c r="F1269" s="13">
        <v>38800</v>
      </c>
      <c r="G1269" s="125">
        <f t="shared" si="39"/>
        <v>0</v>
      </c>
      <c r="H1269" s="247"/>
    </row>
    <row r="1270" spans="1:8" ht="16.5">
      <c r="A1270" s="3">
        <f>IF(F1270="","",COUNTA($F$1249:F1270))</f>
        <v>21</v>
      </c>
      <c r="B1270" s="24" t="s">
        <v>1781</v>
      </c>
      <c r="C1270" s="21" t="s">
        <v>2792</v>
      </c>
      <c r="E1270" s="13">
        <v>50700</v>
      </c>
      <c r="F1270" s="13">
        <v>50700</v>
      </c>
      <c r="G1270" s="125">
        <f t="shared" si="39"/>
        <v>0</v>
      </c>
      <c r="H1270" s="247"/>
    </row>
    <row r="1271" spans="1:8" ht="16.5">
      <c r="A1271" s="3">
        <f>IF(F1271="","",COUNTA($F$1249:F1271))</f>
        <v>22</v>
      </c>
      <c r="B1271" s="24" t="s">
        <v>1782</v>
      </c>
      <c r="C1271" s="21" t="s">
        <v>2792</v>
      </c>
      <c r="E1271" s="13">
        <v>62600</v>
      </c>
      <c r="F1271" s="13">
        <v>62600</v>
      </c>
      <c r="G1271" s="125">
        <f t="shared" si="39"/>
        <v>0</v>
      </c>
      <c r="H1271" s="247"/>
    </row>
    <row r="1272" spans="1:8" ht="16.5">
      <c r="A1272" s="3">
        <f>IF(F1272="","",COUNTA($F$1249:F1272))</f>
        <v>23</v>
      </c>
      <c r="B1272" s="24" t="s">
        <v>1783</v>
      </c>
      <c r="C1272" s="21" t="s">
        <v>2792</v>
      </c>
      <c r="E1272" s="13">
        <v>35800</v>
      </c>
      <c r="F1272" s="13">
        <v>35800</v>
      </c>
      <c r="G1272" s="125">
        <f t="shared" si="39"/>
        <v>0</v>
      </c>
      <c r="H1272" s="247"/>
    </row>
    <row r="1273" spans="1:8" ht="16.5">
      <c r="A1273" s="3">
        <f>IF(F1273="","",COUNTA($F$1249:F1273))</f>
        <v>24</v>
      </c>
      <c r="B1273" s="24" t="s">
        <v>1784</v>
      </c>
      <c r="C1273" s="21" t="s">
        <v>2792</v>
      </c>
      <c r="E1273" s="13">
        <v>41100</v>
      </c>
      <c r="F1273" s="13">
        <v>41100</v>
      </c>
      <c r="G1273" s="125">
        <f t="shared" si="39"/>
        <v>0</v>
      </c>
      <c r="H1273" s="247"/>
    </row>
    <row r="1274" spans="1:8" ht="16.5">
      <c r="A1274" s="3">
        <f>IF(F1274="","",COUNTA($F$1249:F1274))</f>
        <v>25</v>
      </c>
      <c r="B1274" s="24" t="s">
        <v>1785</v>
      </c>
      <c r="C1274" s="21" t="s">
        <v>2792</v>
      </c>
      <c r="E1274" s="13">
        <v>47900</v>
      </c>
      <c r="F1274" s="13">
        <v>47900</v>
      </c>
      <c r="G1274" s="125">
        <f t="shared" si="39"/>
        <v>0</v>
      </c>
      <c r="H1274" s="247"/>
    </row>
    <row r="1275" spans="1:8" ht="16.5">
      <c r="A1275" s="3">
        <f>IF(F1275="","",COUNTA($F$1249:F1275))</f>
        <v>26</v>
      </c>
      <c r="B1275" s="24" t="s">
        <v>1786</v>
      </c>
      <c r="C1275" s="21" t="s">
        <v>2792</v>
      </c>
      <c r="E1275" s="13">
        <v>55500</v>
      </c>
      <c r="F1275" s="13">
        <v>55500</v>
      </c>
      <c r="G1275" s="125">
        <f t="shared" si="39"/>
        <v>0</v>
      </c>
      <c r="H1275" s="247"/>
    </row>
    <row r="1276" spans="1:8" ht="16.5">
      <c r="A1276" s="3">
        <f>IF(F1276="","",COUNTA($F$1249:F1276))</f>
        <v>27</v>
      </c>
      <c r="B1276" s="24" t="s">
        <v>1787</v>
      </c>
      <c r="C1276" s="21" t="s">
        <v>2792</v>
      </c>
      <c r="E1276" s="13">
        <v>72900</v>
      </c>
      <c r="F1276" s="13">
        <v>72900</v>
      </c>
      <c r="G1276" s="125">
        <f t="shared" si="39"/>
        <v>0</v>
      </c>
      <c r="H1276" s="247"/>
    </row>
    <row r="1277" spans="1:8" ht="16.5">
      <c r="A1277" s="3">
        <f>IF(F1277="","",COUNTA($F$1249:F1277))</f>
        <v>28</v>
      </c>
      <c r="B1277" s="24" t="s">
        <v>1788</v>
      </c>
      <c r="C1277" s="21" t="s">
        <v>2792</v>
      </c>
      <c r="E1277" s="13">
        <v>54100</v>
      </c>
      <c r="F1277" s="13">
        <v>54100</v>
      </c>
      <c r="G1277" s="125">
        <f t="shared" si="39"/>
        <v>0</v>
      </c>
      <c r="H1277" s="247"/>
    </row>
    <row r="1278" spans="1:8" ht="16.5">
      <c r="A1278" s="3">
        <f>IF(F1278="","",COUNTA($F$1249:F1278))</f>
        <v>29</v>
      </c>
      <c r="B1278" s="24" t="s">
        <v>1789</v>
      </c>
      <c r="C1278" s="21" t="s">
        <v>2792</v>
      </c>
      <c r="E1278" s="13">
        <v>61300</v>
      </c>
      <c r="F1278" s="13">
        <v>61300</v>
      </c>
      <c r="G1278" s="125">
        <f t="shared" si="39"/>
        <v>0</v>
      </c>
      <c r="H1278" s="247"/>
    </row>
    <row r="1279" spans="1:8" ht="16.5">
      <c r="A1279" s="3">
        <f>IF(F1279="","",COUNTA($F$1249:F1279))</f>
        <v>30</v>
      </c>
      <c r="B1279" s="24" t="s">
        <v>1790</v>
      </c>
      <c r="C1279" s="21" t="s">
        <v>2792</v>
      </c>
      <c r="E1279" s="13">
        <v>71400</v>
      </c>
      <c r="F1279" s="13">
        <v>71400</v>
      </c>
      <c r="G1279" s="125">
        <f t="shared" si="39"/>
        <v>0</v>
      </c>
      <c r="H1279" s="247"/>
    </row>
    <row r="1280" spans="1:8" ht="16.5">
      <c r="A1280" s="3">
        <f>IF(F1280="","",COUNTA($F$1249:F1280))</f>
        <v>31</v>
      </c>
      <c r="B1280" s="24" t="s">
        <v>1791</v>
      </c>
      <c r="C1280" s="21" t="s">
        <v>2792</v>
      </c>
      <c r="E1280" s="13">
        <v>81300</v>
      </c>
      <c r="F1280" s="13">
        <v>81300</v>
      </c>
      <c r="G1280" s="125">
        <f t="shared" si="39"/>
        <v>0</v>
      </c>
      <c r="H1280" s="247"/>
    </row>
    <row r="1281" spans="1:8" ht="16.5">
      <c r="A1281" s="3">
        <f>IF(F1281="","",COUNTA($F$1249:F1281))</f>
        <v>32</v>
      </c>
      <c r="B1281" s="24" t="s">
        <v>1792</v>
      </c>
      <c r="C1281" s="21" t="s">
        <v>2792</v>
      </c>
      <c r="E1281" s="13">
        <v>114000</v>
      </c>
      <c r="F1281" s="13">
        <v>114000</v>
      </c>
      <c r="G1281" s="125">
        <f t="shared" si="39"/>
        <v>0</v>
      </c>
      <c r="H1281" s="247"/>
    </row>
    <row r="1282" spans="1:8" ht="16.5">
      <c r="A1282" s="3">
        <f>IF(F1282="","",COUNTA($F$1249:F1282))</f>
        <v>33</v>
      </c>
      <c r="B1282" s="24" t="s">
        <v>1793</v>
      </c>
      <c r="C1282" s="21" t="s">
        <v>2792</v>
      </c>
      <c r="E1282" s="13">
        <v>88300</v>
      </c>
      <c r="F1282" s="13">
        <v>88300</v>
      </c>
      <c r="G1282" s="125">
        <f aca="true" t="shared" si="40" ref="G1282:G1345">(E1282-F1282)/E1282</f>
        <v>0</v>
      </c>
      <c r="H1282" s="247"/>
    </row>
    <row r="1283" spans="1:8" ht="16.5">
      <c r="A1283" s="3">
        <f>IF(F1283="","",COUNTA($F$1249:F1283))</f>
        <v>34</v>
      </c>
      <c r="B1283" s="24" t="s">
        <v>1794</v>
      </c>
      <c r="C1283" s="21" t="s">
        <v>2792</v>
      </c>
      <c r="E1283" s="13">
        <v>104600</v>
      </c>
      <c r="F1283" s="13">
        <v>104600</v>
      </c>
      <c r="G1283" s="125">
        <f t="shared" si="40"/>
        <v>0</v>
      </c>
      <c r="H1283" s="247"/>
    </row>
    <row r="1284" spans="1:8" ht="16.5">
      <c r="A1284" s="3">
        <f>IF(F1284="","",COUNTA($F$1249:F1284))</f>
        <v>35</v>
      </c>
      <c r="B1284" s="24" t="s">
        <v>1795</v>
      </c>
      <c r="C1284" s="21" t="s">
        <v>2792</v>
      </c>
      <c r="E1284" s="13">
        <v>132800</v>
      </c>
      <c r="F1284" s="13">
        <v>132800</v>
      </c>
      <c r="G1284" s="125">
        <f t="shared" si="40"/>
        <v>0</v>
      </c>
      <c r="H1284" s="247"/>
    </row>
    <row r="1285" spans="1:8" ht="16.5">
      <c r="A1285" s="3">
        <f>IF(F1285="","",COUNTA($F$1249:F1285))</f>
        <v>36</v>
      </c>
      <c r="B1285" s="24" t="s">
        <v>1796</v>
      </c>
      <c r="C1285" s="21" t="s">
        <v>2792</v>
      </c>
      <c r="E1285" s="13">
        <v>110400</v>
      </c>
      <c r="F1285" s="13">
        <v>110400</v>
      </c>
      <c r="G1285" s="125">
        <f t="shared" si="40"/>
        <v>0</v>
      </c>
      <c r="H1285" s="247"/>
    </row>
    <row r="1286" spans="1:8" ht="16.5">
      <c r="A1286" s="3">
        <f>IF(F1286="","",COUNTA($F$1249:F1286))</f>
        <v>37</v>
      </c>
      <c r="B1286" s="24" t="s">
        <v>1797</v>
      </c>
      <c r="C1286" s="21" t="s">
        <v>2792</v>
      </c>
      <c r="E1286" s="13">
        <v>130100</v>
      </c>
      <c r="F1286" s="13">
        <v>130100</v>
      </c>
      <c r="G1286" s="125">
        <f t="shared" si="40"/>
        <v>0</v>
      </c>
      <c r="H1286" s="247"/>
    </row>
    <row r="1287" spans="1:8" ht="16.5">
      <c r="A1287" s="3">
        <f>IF(F1287="","",COUNTA($F$1249:F1287))</f>
        <v>38</v>
      </c>
      <c r="B1287" s="24" t="s">
        <v>1798</v>
      </c>
      <c r="C1287" s="21" t="s">
        <v>2792</v>
      </c>
      <c r="E1287" s="13">
        <v>174000</v>
      </c>
      <c r="F1287" s="13">
        <v>174000</v>
      </c>
      <c r="G1287" s="125">
        <f t="shared" si="40"/>
        <v>0</v>
      </c>
      <c r="H1287" s="247"/>
    </row>
    <row r="1288" spans="1:8" ht="16.5">
      <c r="A1288" s="3">
        <f>IF(F1288="","",COUNTA($F$1249:F1288))</f>
        <v>39</v>
      </c>
      <c r="B1288" s="24" t="s">
        <v>1799</v>
      </c>
      <c r="C1288" s="21" t="s">
        <v>2792</v>
      </c>
      <c r="E1288" s="13">
        <v>146100</v>
      </c>
      <c r="F1288" s="13">
        <v>146100</v>
      </c>
      <c r="G1288" s="125">
        <f t="shared" si="40"/>
        <v>0</v>
      </c>
      <c r="H1288" s="247"/>
    </row>
    <row r="1289" spans="1:8" ht="16.5">
      <c r="A1289" s="3">
        <f>IF(F1289="","",COUNTA($F$1249:F1289))</f>
        <v>40</v>
      </c>
      <c r="B1289" s="24" t="s">
        <v>1800</v>
      </c>
      <c r="C1289" s="21" t="s">
        <v>2792</v>
      </c>
      <c r="E1289" s="13">
        <v>168500</v>
      </c>
      <c r="F1289" s="13">
        <v>168500</v>
      </c>
      <c r="G1289" s="125">
        <f t="shared" si="40"/>
        <v>0</v>
      </c>
      <c r="H1289" s="247"/>
    </row>
    <row r="1290" spans="1:8" ht="16.5">
      <c r="A1290" s="3">
        <f>IF(F1290="","",COUNTA($F$1249:F1290))</f>
        <v>41</v>
      </c>
      <c r="B1290" s="24" t="s">
        <v>1801</v>
      </c>
      <c r="C1290" s="21" t="s">
        <v>2792</v>
      </c>
      <c r="E1290" s="13">
        <v>218000</v>
      </c>
      <c r="F1290" s="13">
        <v>218000</v>
      </c>
      <c r="G1290" s="125">
        <f t="shared" si="40"/>
        <v>0</v>
      </c>
      <c r="H1290" s="247"/>
    </row>
    <row r="1291" spans="1:8" ht="16.5">
      <c r="A1291" s="3">
        <f>IF(F1291="","",COUNTA($F$1249:F1291))</f>
        <v>42</v>
      </c>
      <c r="B1291" s="24" t="s">
        <v>1802</v>
      </c>
      <c r="C1291" s="21" t="s">
        <v>2792</v>
      </c>
      <c r="E1291" s="13">
        <v>213000</v>
      </c>
      <c r="F1291" s="13">
        <v>213000</v>
      </c>
      <c r="G1291" s="125">
        <f t="shared" si="40"/>
        <v>0</v>
      </c>
      <c r="H1291" s="247"/>
    </row>
    <row r="1292" spans="1:8" ht="16.5">
      <c r="A1292" s="3">
        <f>IF(F1292="","",COUNTA($F$1249:F1292))</f>
        <v>43</v>
      </c>
      <c r="B1292" s="24" t="s">
        <v>1803</v>
      </c>
      <c r="C1292" s="21" t="s">
        <v>2792</v>
      </c>
      <c r="E1292" s="13">
        <v>272100</v>
      </c>
      <c r="F1292" s="13">
        <v>272100</v>
      </c>
      <c r="G1292" s="125">
        <f t="shared" si="40"/>
        <v>0</v>
      </c>
      <c r="H1292" s="247"/>
    </row>
    <row r="1293" spans="1:8" ht="17.25">
      <c r="A1293" s="3">
        <f>IF(F1293="","",COUNTA($F$1249:F1293))</f>
      </c>
      <c r="B1293" s="30" t="s">
        <v>1804</v>
      </c>
      <c r="E1293" s="13"/>
      <c r="F1293" s="13"/>
      <c r="G1293" s="125"/>
      <c r="H1293" s="247"/>
    </row>
    <row r="1294" spans="1:8" ht="16.5">
      <c r="A1294" s="3">
        <f>IF(F1294="","",COUNTA($F$1249:F1294))</f>
        <v>44</v>
      </c>
      <c r="B1294" s="24" t="s">
        <v>1805</v>
      </c>
      <c r="C1294" s="21" t="s">
        <v>2792</v>
      </c>
      <c r="E1294" s="13">
        <v>18100</v>
      </c>
      <c r="F1294" s="13">
        <v>18100</v>
      </c>
      <c r="G1294" s="125">
        <f t="shared" si="40"/>
        <v>0</v>
      </c>
      <c r="H1294" s="247"/>
    </row>
    <row r="1295" spans="1:8" ht="16.5">
      <c r="A1295" s="3">
        <f>IF(F1295="","",COUNTA($F$1249:F1295))</f>
        <v>45</v>
      </c>
      <c r="B1295" s="24" t="s">
        <v>1806</v>
      </c>
      <c r="C1295" s="21" t="s">
        <v>2792</v>
      </c>
      <c r="E1295" s="13">
        <v>26700</v>
      </c>
      <c r="F1295" s="13">
        <v>26700</v>
      </c>
      <c r="G1295" s="125">
        <f t="shared" si="40"/>
        <v>0</v>
      </c>
      <c r="H1295" s="247"/>
    </row>
    <row r="1296" spans="1:8" ht="16.5">
      <c r="A1296" s="3">
        <f>IF(F1296="","",COUNTA($F$1249:F1296))</f>
        <v>46</v>
      </c>
      <c r="B1296" s="24" t="s">
        <v>1807</v>
      </c>
      <c r="C1296" s="21" t="s">
        <v>2792</v>
      </c>
      <c r="E1296" s="13">
        <v>27500</v>
      </c>
      <c r="F1296" s="13">
        <v>27500</v>
      </c>
      <c r="G1296" s="125">
        <f t="shared" si="40"/>
        <v>0</v>
      </c>
      <c r="H1296" s="247"/>
    </row>
    <row r="1297" spans="1:8" ht="16.5">
      <c r="A1297" s="3">
        <f>IF(F1297="","",COUNTA($F$1249:F1297))</f>
        <v>47</v>
      </c>
      <c r="B1297" s="24" t="s">
        <v>1808</v>
      </c>
      <c r="C1297" s="21" t="s">
        <v>2792</v>
      </c>
      <c r="E1297" s="13">
        <v>47300</v>
      </c>
      <c r="F1297" s="13">
        <v>47300</v>
      </c>
      <c r="G1297" s="125">
        <f t="shared" si="40"/>
        <v>0</v>
      </c>
      <c r="H1297" s="247"/>
    </row>
    <row r="1298" spans="1:8" ht="16.5">
      <c r="A1298" s="3">
        <f>IF(F1298="","",COUNTA($F$1249:F1298))</f>
        <v>48</v>
      </c>
      <c r="B1298" s="24" t="s">
        <v>1809</v>
      </c>
      <c r="C1298" s="21" t="s">
        <v>2792</v>
      </c>
      <c r="E1298" s="13">
        <v>50100</v>
      </c>
      <c r="F1298" s="13">
        <v>50100</v>
      </c>
      <c r="G1298" s="125">
        <f t="shared" si="40"/>
        <v>0</v>
      </c>
      <c r="H1298" s="247"/>
    </row>
    <row r="1299" spans="1:8" ht="16.5">
      <c r="A1299" s="3">
        <f>IF(F1299="","",COUNTA($F$1249:F1299))</f>
        <v>49</v>
      </c>
      <c r="B1299" s="24" t="s">
        <v>1810</v>
      </c>
      <c r="C1299" s="21" t="s">
        <v>2792</v>
      </c>
      <c r="E1299" s="13">
        <v>69100</v>
      </c>
      <c r="F1299" s="13">
        <v>69100</v>
      </c>
      <c r="G1299" s="125">
        <f t="shared" si="40"/>
        <v>0</v>
      </c>
      <c r="H1299" s="247"/>
    </row>
    <row r="1300" spans="1:8" ht="16.5">
      <c r="A1300" s="3">
        <f>IF(F1300="","",COUNTA($F$1249:F1300))</f>
        <v>50</v>
      </c>
      <c r="B1300" s="24" t="s">
        <v>1811</v>
      </c>
      <c r="C1300" s="21" t="s">
        <v>2792</v>
      </c>
      <c r="E1300" s="13">
        <v>67200</v>
      </c>
      <c r="F1300" s="13">
        <v>67200</v>
      </c>
      <c r="G1300" s="125">
        <f t="shared" si="40"/>
        <v>0</v>
      </c>
      <c r="H1300" s="247"/>
    </row>
    <row r="1301" spans="1:8" ht="16.5">
      <c r="A1301" s="3">
        <f>IF(F1301="","",COUNTA($F$1249:F1301))</f>
        <v>51</v>
      </c>
      <c r="B1301" s="24" t="s">
        <v>1812</v>
      </c>
      <c r="C1301" s="21" t="s">
        <v>2792</v>
      </c>
      <c r="E1301" s="13">
        <v>107100</v>
      </c>
      <c r="F1301" s="13">
        <v>107100</v>
      </c>
      <c r="G1301" s="125">
        <f t="shared" si="40"/>
        <v>0</v>
      </c>
      <c r="H1301" s="247"/>
    </row>
    <row r="1302" spans="1:8" ht="16.5">
      <c r="A1302" s="3">
        <f>IF(F1302="","",COUNTA($F$1249:F1302))</f>
        <v>52</v>
      </c>
      <c r="B1302" s="24" t="s">
        <v>1813</v>
      </c>
      <c r="C1302" s="21" t="s">
        <v>2792</v>
      </c>
      <c r="E1302" s="13">
        <v>98500</v>
      </c>
      <c r="F1302" s="13">
        <v>98500</v>
      </c>
      <c r="G1302" s="125">
        <f t="shared" si="40"/>
        <v>0</v>
      </c>
      <c r="H1302" s="247"/>
    </row>
    <row r="1303" spans="1:8" ht="16.5">
      <c r="A1303" s="3">
        <f>IF(F1303="","",COUNTA($F$1249:F1303))</f>
        <v>53</v>
      </c>
      <c r="B1303" s="24" t="s">
        <v>1814</v>
      </c>
      <c r="C1303" s="21" t="s">
        <v>2792</v>
      </c>
      <c r="E1303" s="13">
        <v>166500</v>
      </c>
      <c r="F1303" s="13">
        <v>166500</v>
      </c>
      <c r="G1303" s="125">
        <f t="shared" si="40"/>
        <v>0</v>
      </c>
      <c r="H1303" s="247"/>
    </row>
    <row r="1304" spans="1:8" ht="16.5">
      <c r="A1304" s="3">
        <f>IF(F1304="","",COUNTA($F$1249:F1304))</f>
        <v>54</v>
      </c>
      <c r="B1304" s="24" t="s">
        <v>1815</v>
      </c>
      <c r="C1304" s="21" t="s">
        <v>2792</v>
      </c>
      <c r="E1304" s="13">
        <v>157100</v>
      </c>
      <c r="F1304" s="13">
        <v>157100</v>
      </c>
      <c r="G1304" s="125">
        <f t="shared" si="40"/>
        <v>0</v>
      </c>
      <c r="H1304" s="247"/>
    </row>
    <row r="1305" spans="1:8" ht="16.5">
      <c r="A1305" s="3">
        <f>IF(F1305="","",COUNTA($F$1249:F1305))</f>
        <v>55</v>
      </c>
      <c r="B1305" s="24" t="s">
        <v>1816</v>
      </c>
      <c r="C1305" s="21" t="s">
        <v>2792</v>
      </c>
      <c r="E1305" s="13">
        <v>262800</v>
      </c>
      <c r="F1305" s="13">
        <v>262800</v>
      </c>
      <c r="G1305" s="125">
        <f t="shared" si="40"/>
        <v>0</v>
      </c>
      <c r="H1305" s="247"/>
    </row>
    <row r="1306" spans="1:8" ht="16.5">
      <c r="A1306" s="3">
        <f>IF(F1306="","",COUNTA($F$1249:F1306))</f>
        <v>56</v>
      </c>
      <c r="B1306" s="24" t="s">
        <v>1817</v>
      </c>
      <c r="C1306" s="21" t="s">
        <v>2792</v>
      </c>
      <c r="E1306" s="13">
        <v>219400</v>
      </c>
      <c r="F1306" s="13">
        <v>219400</v>
      </c>
      <c r="G1306" s="125">
        <f t="shared" si="40"/>
        <v>0</v>
      </c>
      <c r="H1306" s="247"/>
    </row>
    <row r="1307" spans="1:8" ht="16.5">
      <c r="A1307" s="3">
        <f>IF(F1307="","",COUNTA($F$1249:F1307))</f>
        <v>57</v>
      </c>
      <c r="B1307" s="24" t="s">
        <v>1818</v>
      </c>
      <c r="C1307" s="21" t="s">
        <v>2792</v>
      </c>
      <c r="E1307" s="13">
        <v>372700</v>
      </c>
      <c r="F1307" s="13">
        <v>372700</v>
      </c>
      <c r="G1307" s="125">
        <f t="shared" si="40"/>
        <v>0</v>
      </c>
      <c r="H1307" s="247"/>
    </row>
    <row r="1308" spans="1:8" ht="16.5">
      <c r="A1308" s="3">
        <f>IF(F1308="","",COUNTA($F$1249:F1308))</f>
        <v>58</v>
      </c>
      <c r="B1308" s="24" t="s">
        <v>1819</v>
      </c>
      <c r="C1308" s="21" t="s">
        <v>2792</v>
      </c>
      <c r="E1308" s="13">
        <v>318400</v>
      </c>
      <c r="F1308" s="13">
        <v>318400</v>
      </c>
      <c r="G1308" s="125">
        <f t="shared" si="40"/>
        <v>0</v>
      </c>
      <c r="H1308" s="247"/>
    </row>
    <row r="1309" spans="1:8" ht="16.5">
      <c r="A1309" s="3">
        <f>IF(F1309="","",COUNTA($F$1249:F1309))</f>
        <v>59</v>
      </c>
      <c r="B1309" s="24" t="s">
        <v>1820</v>
      </c>
      <c r="C1309" s="21" t="s">
        <v>2792</v>
      </c>
      <c r="E1309" s="13">
        <v>543100</v>
      </c>
      <c r="F1309" s="13">
        <v>543100</v>
      </c>
      <c r="G1309" s="125">
        <f t="shared" si="40"/>
        <v>0</v>
      </c>
      <c r="H1309" s="247"/>
    </row>
    <row r="1310" spans="1:8" ht="16.5">
      <c r="A1310" s="3">
        <f>IF(F1310="","",COUNTA($F$1249:F1310))</f>
        <v>60</v>
      </c>
      <c r="B1310" s="24" t="s">
        <v>1821</v>
      </c>
      <c r="C1310" s="21" t="s">
        <v>2792</v>
      </c>
      <c r="E1310" s="13">
        <v>509200</v>
      </c>
      <c r="F1310" s="13">
        <v>509200</v>
      </c>
      <c r="G1310" s="125">
        <f t="shared" si="40"/>
        <v>0</v>
      </c>
      <c r="H1310" s="247"/>
    </row>
    <row r="1311" spans="1:8" ht="16.5">
      <c r="A1311" s="3">
        <f>IF(F1311="","",COUNTA($F$1249:F1311))</f>
        <v>61</v>
      </c>
      <c r="B1311" s="24" t="s">
        <v>1822</v>
      </c>
      <c r="C1311" s="21" t="s">
        <v>2792</v>
      </c>
      <c r="E1311" s="13">
        <v>804200</v>
      </c>
      <c r="F1311" s="13">
        <v>804200</v>
      </c>
      <c r="G1311" s="125">
        <f t="shared" si="40"/>
        <v>0</v>
      </c>
      <c r="H1311" s="247"/>
    </row>
    <row r="1312" spans="1:8" ht="16.5">
      <c r="A1312" s="3">
        <f>IF(F1312="","",COUNTA($F$1249:F1312))</f>
        <v>62</v>
      </c>
      <c r="B1312" s="24" t="s">
        <v>1823</v>
      </c>
      <c r="C1312" s="21" t="s">
        <v>2792</v>
      </c>
      <c r="E1312" s="13">
        <v>1058000</v>
      </c>
      <c r="F1312" s="13">
        <v>1058000</v>
      </c>
      <c r="G1312" s="125">
        <f t="shared" si="40"/>
        <v>0</v>
      </c>
      <c r="H1312" s="247"/>
    </row>
    <row r="1313" spans="1:8" ht="16.5">
      <c r="A1313" s="3">
        <f>IF(F1313="","",COUNTA($F$1249:F1313))</f>
        <v>63</v>
      </c>
      <c r="B1313" s="24" t="s">
        <v>1824</v>
      </c>
      <c r="C1313" s="21" t="s">
        <v>2792</v>
      </c>
      <c r="E1313" s="13">
        <v>1736500</v>
      </c>
      <c r="F1313" s="13">
        <v>1736500</v>
      </c>
      <c r="G1313" s="125">
        <f t="shared" si="40"/>
        <v>0</v>
      </c>
      <c r="H1313" s="247"/>
    </row>
    <row r="1314" spans="1:8" ht="17.25">
      <c r="A1314" s="3">
        <f>IF(F1314="","",COUNTA($F$1249:F1314))</f>
      </c>
      <c r="B1314" s="35" t="s">
        <v>970</v>
      </c>
      <c r="C1314" s="20"/>
      <c r="E1314" s="17"/>
      <c r="F1314" s="17"/>
      <c r="G1314" s="125"/>
      <c r="H1314" s="247" t="s">
        <v>1210</v>
      </c>
    </row>
    <row r="1315" spans="1:8" ht="16.5">
      <c r="A1315" s="3">
        <f>IF(F1315="","",COUNTA($F$1249:F1315))</f>
        <v>64</v>
      </c>
      <c r="B1315" s="25" t="s">
        <v>1825</v>
      </c>
      <c r="C1315" s="21" t="s">
        <v>2792</v>
      </c>
      <c r="E1315" s="18">
        <v>6545</v>
      </c>
      <c r="F1315" s="18">
        <v>6545</v>
      </c>
      <c r="G1315" s="125">
        <f t="shared" si="40"/>
        <v>0</v>
      </c>
      <c r="H1315" s="247"/>
    </row>
    <row r="1316" spans="1:8" ht="16.5">
      <c r="A1316" s="3">
        <f>IF(F1316="","",COUNTA($F$1249:F1316))</f>
        <v>65</v>
      </c>
      <c r="B1316" s="25" t="s">
        <v>1826</v>
      </c>
      <c r="C1316" s="21" t="s">
        <v>2792</v>
      </c>
      <c r="E1316" s="18">
        <v>8091</v>
      </c>
      <c r="F1316" s="18">
        <v>8091</v>
      </c>
      <c r="G1316" s="125">
        <f t="shared" si="40"/>
        <v>0</v>
      </c>
      <c r="H1316" s="247"/>
    </row>
    <row r="1317" spans="1:8" ht="16.5">
      <c r="A1317" s="3">
        <f>IF(F1317="","",COUNTA($F$1249:F1317))</f>
        <v>66</v>
      </c>
      <c r="B1317" s="25" t="s">
        <v>1827</v>
      </c>
      <c r="C1317" s="21" t="s">
        <v>2792</v>
      </c>
      <c r="E1317" s="18">
        <v>10545</v>
      </c>
      <c r="F1317" s="18">
        <v>10545</v>
      </c>
      <c r="G1317" s="125">
        <f t="shared" si="40"/>
        <v>0</v>
      </c>
      <c r="H1317" s="247"/>
    </row>
    <row r="1318" spans="1:8" ht="16.5">
      <c r="A1318" s="3">
        <f>IF(F1318="","",COUNTA($F$1249:F1318))</f>
        <v>67</v>
      </c>
      <c r="B1318" s="25" t="s">
        <v>1828</v>
      </c>
      <c r="C1318" s="21" t="s">
        <v>2792</v>
      </c>
      <c r="E1318" s="18">
        <v>15727</v>
      </c>
      <c r="F1318" s="18">
        <v>15727</v>
      </c>
      <c r="G1318" s="125">
        <f t="shared" si="40"/>
        <v>0</v>
      </c>
      <c r="H1318" s="247"/>
    </row>
    <row r="1319" spans="1:8" ht="16.5">
      <c r="A1319" s="3">
        <f>IF(F1319="","",COUNTA($F$1249:F1319))</f>
        <v>68</v>
      </c>
      <c r="B1319" s="25" t="s">
        <v>1829</v>
      </c>
      <c r="C1319" s="21" t="s">
        <v>2792</v>
      </c>
      <c r="E1319" s="18">
        <v>18364</v>
      </c>
      <c r="F1319" s="18">
        <v>18364</v>
      </c>
      <c r="G1319" s="125">
        <f t="shared" si="40"/>
        <v>0</v>
      </c>
      <c r="H1319" s="247"/>
    </row>
    <row r="1320" spans="1:8" ht="16.5">
      <c r="A1320" s="3">
        <f>IF(F1320="","",COUNTA($F$1249:F1320))</f>
        <v>69</v>
      </c>
      <c r="B1320" s="25" t="s">
        <v>1830</v>
      </c>
      <c r="C1320" s="21" t="s">
        <v>2792</v>
      </c>
      <c r="E1320" s="18">
        <v>23909</v>
      </c>
      <c r="F1320" s="18">
        <v>23909</v>
      </c>
      <c r="G1320" s="125">
        <f t="shared" si="40"/>
        <v>0</v>
      </c>
      <c r="H1320" s="247"/>
    </row>
    <row r="1321" spans="1:8" ht="16.5">
      <c r="A1321" s="3">
        <f>IF(F1321="","",COUNTA($F$1249:F1321))</f>
        <v>70</v>
      </c>
      <c r="B1321" s="25" t="s">
        <v>1831</v>
      </c>
      <c r="C1321" s="21" t="s">
        <v>2792</v>
      </c>
      <c r="E1321" s="18">
        <v>33545</v>
      </c>
      <c r="F1321" s="18">
        <v>33545</v>
      </c>
      <c r="G1321" s="125">
        <f t="shared" si="40"/>
        <v>0</v>
      </c>
      <c r="H1321" s="247"/>
    </row>
    <row r="1322" spans="1:8" ht="16.5">
      <c r="A1322" s="3">
        <f>IF(F1322="","",COUNTA($F$1249:F1322))</f>
        <v>71</v>
      </c>
      <c r="B1322" s="25" t="s">
        <v>1832</v>
      </c>
      <c r="C1322" s="21" t="s">
        <v>2792</v>
      </c>
      <c r="E1322" s="18">
        <v>41000</v>
      </c>
      <c r="F1322" s="18">
        <v>41000</v>
      </c>
      <c r="G1322" s="125">
        <f t="shared" si="40"/>
        <v>0</v>
      </c>
      <c r="H1322" s="247"/>
    </row>
    <row r="1323" spans="1:8" ht="16.5">
      <c r="A1323" s="3">
        <f>IF(F1323="","",COUNTA($F$1249:F1323))</f>
        <v>72</v>
      </c>
      <c r="B1323" s="25" t="s">
        <v>1833</v>
      </c>
      <c r="C1323" s="21" t="s">
        <v>2792</v>
      </c>
      <c r="E1323" s="18">
        <v>61818</v>
      </c>
      <c r="F1323" s="18">
        <v>61818</v>
      </c>
      <c r="G1323" s="125">
        <f t="shared" si="40"/>
        <v>0</v>
      </c>
      <c r="H1323" s="247"/>
    </row>
    <row r="1324" spans="1:8" ht="16.5">
      <c r="A1324" s="3">
        <f>IF(F1324="","",COUNTA($F$1249:F1324))</f>
        <v>73</v>
      </c>
      <c r="B1324" s="25" t="s">
        <v>1834</v>
      </c>
      <c r="C1324" s="21" t="s">
        <v>2792</v>
      </c>
      <c r="E1324" s="18">
        <v>68273</v>
      </c>
      <c r="F1324" s="18">
        <v>68273</v>
      </c>
      <c r="G1324" s="125">
        <f t="shared" si="40"/>
        <v>0</v>
      </c>
      <c r="H1324" s="247"/>
    </row>
    <row r="1325" spans="1:8" ht="16.5">
      <c r="A1325" s="3">
        <f>IF(F1325="","",COUNTA($F$1249:F1325))</f>
        <v>74</v>
      </c>
      <c r="B1325" s="25" t="s">
        <v>1835</v>
      </c>
      <c r="C1325" s="21" t="s">
        <v>2792</v>
      </c>
      <c r="E1325" s="18">
        <v>8000</v>
      </c>
      <c r="F1325" s="18">
        <v>8000</v>
      </c>
      <c r="G1325" s="125">
        <f t="shared" si="40"/>
        <v>0</v>
      </c>
      <c r="H1325" s="247"/>
    </row>
    <row r="1326" spans="1:8" ht="16.5">
      <c r="A1326" s="3">
        <f>IF(F1326="","",COUNTA($F$1249:F1326))</f>
        <v>75</v>
      </c>
      <c r="B1326" s="25" t="s">
        <v>1836</v>
      </c>
      <c r="C1326" s="21" t="s">
        <v>2792</v>
      </c>
      <c r="E1326" s="18">
        <v>10182</v>
      </c>
      <c r="F1326" s="18">
        <v>10182</v>
      </c>
      <c r="G1326" s="125">
        <f t="shared" si="40"/>
        <v>0</v>
      </c>
      <c r="H1326" s="247"/>
    </row>
    <row r="1327" spans="1:8" ht="16.5">
      <c r="A1327" s="3">
        <f>IF(F1327="","",COUNTA($F$1249:F1327))</f>
        <v>76</v>
      </c>
      <c r="B1327" s="25" t="s">
        <v>1837</v>
      </c>
      <c r="C1327" s="21" t="s">
        <v>2792</v>
      </c>
      <c r="E1327" s="18">
        <v>12364</v>
      </c>
      <c r="F1327" s="18">
        <v>12364</v>
      </c>
      <c r="G1327" s="125">
        <f t="shared" si="40"/>
        <v>0</v>
      </c>
      <c r="H1327" s="247"/>
    </row>
    <row r="1328" spans="1:8" ht="16.5">
      <c r="A1328" s="3">
        <f>IF(F1328="","",COUNTA($F$1249:F1328))</f>
        <v>77</v>
      </c>
      <c r="B1328" s="25" t="s">
        <v>1838</v>
      </c>
      <c r="C1328" s="21" t="s">
        <v>2792</v>
      </c>
      <c r="E1328" s="18">
        <v>17636</v>
      </c>
      <c r="F1328" s="18">
        <v>17636</v>
      </c>
      <c r="G1328" s="125">
        <f t="shared" si="40"/>
        <v>0</v>
      </c>
      <c r="H1328" s="247"/>
    </row>
    <row r="1329" spans="1:8" ht="16.5">
      <c r="A1329" s="3">
        <f>IF(F1329="","",COUNTA($F$1249:F1329))</f>
        <v>78</v>
      </c>
      <c r="B1329" s="25" t="s">
        <v>1839</v>
      </c>
      <c r="C1329" s="21" t="s">
        <v>2792</v>
      </c>
      <c r="E1329" s="18">
        <v>21545</v>
      </c>
      <c r="F1329" s="18">
        <v>21545</v>
      </c>
      <c r="G1329" s="125">
        <f t="shared" si="40"/>
        <v>0</v>
      </c>
      <c r="H1329" s="247"/>
    </row>
    <row r="1330" spans="1:8" ht="16.5">
      <c r="A1330" s="3">
        <f>IF(F1330="","",COUNTA($F$1249:F1330))</f>
        <v>79</v>
      </c>
      <c r="B1330" s="25" t="s">
        <v>1840</v>
      </c>
      <c r="C1330" s="21" t="s">
        <v>2792</v>
      </c>
      <c r="E1330" s="18">
        <v>28636</v>
      </c>
      <c r="F1330" s="18">
        <v>28636</v>
      </c>
      <c r="G1330" s="125">
        <f t="shared" si="40"/>
        <v>0</v>
      </c>
      <c r="H1330" s="247"/>
    </row>
    <row r="1331" spans="1:8" ht="16.5">
      <c r="A1331" s="3">
        <f>IF(F1331="","",COUNTA($F$1249:F1331))</f>
        <v>80</v>
      </c>
      <c r="B1331" s="25" t="s">
        <v>1841</v>
      </c>
      <c r="C1331" s="21" t="s">
        <v>2792</v>
      </c>
      <c r="E1331" s="18">
        <v>39182</v>
      </c>
      <c r="F1331" s="18">
        <v>39182</v>
      </c>
      <c r="G1331" s="125">
        <f t="shared" si="40"/>
        <v>0</v>
      </c>
      <c r="H1331" s="247"/>
    </row>
    <row r="1332" spans="1:8" ht="16.5">
      <c r="A1332" s="3">
        <f>IF(F1332="","",COUNTA($F$1249:F1332))</f>
        <v>81</v>
      </c>
      <c r="B1332" s="25" t="s">
        <v>1842</v>
      </c>
      <c r="C1332" s="21" t="s">
        <v>2792</v>
      </c>
      <c r="E1332" s="18">
        <v>46818</v>
      </c>
      <c r="F1332" s="18">
        <v>46818</v>
      </c>
      <c r="G1332" s="125">
        <f t="shared" si="40"/>
        <v>0</v>
      </c>
      <c r="H1332" s="247"/>
    </row>
    <row r="1333" spans="1:8" ht="16.5">
      <c r="A1333" s="3">
        <f>IF(F1333="","",COUNTA($F$1249:F1333))</f>
        <v>82</v>
      </c>
      <c r="B1333" s="25" t="s">
        <v>1843</v>
      </c>
      <c r="C1333" s="21" t="s">
        <v>2792</v>
      </c>
      <c r="E1333" s="18">
        <v>69909</v>
      </c>
      <c r="F1333" s="18">
        <v>69909</v>
      </c>
      <c r="G1333" s="125">
        <f t="shared" si="40"/>
        <v>0</v>
      </c>
      <c r="H1333" s="247"/>
    </row>
    <row r="1334" spans="1:8" ht="16.5">
      <c r="A1334" s="3">
        <f>IF(F1334="","",COUNTA($F$1249:F1334))</f>
        <v>83</v>
      </c>
      <c r="B1334" s="25" t="s">
        <v>1844</v>
      </c>
      <c r="C1334" s="21" t="s">
        <v>2792</v>
      </c>
      <c r="E1334" s="18">
        <v>86000</v>
      </c>
      <c r="F1334" s="18">
        <v>86000</v>
      </c>
      <c r="G1334" s="125">
        <f t="shared" si="40"/>
        <v>0</v>
      </c>
      <c r="H1334" s="247"/>
    </row>
    <row r="1335" spans="1:8" ht="16.5">
      <c r="A1335" s="3">
        <f>IF(F1335="","",COUNTA($F$1249:F1335))</f>
        <v>84</v>
      </c>
      <c r="B1335" s="25" t="s">
        <v>1845</v>
      </c>
      <c r="C1335" s="21" t="s">
        <v>2792</v>
      </c>
      <c r="E1335" s="18">
        <v>8727</v>
      </c>
      <c r="F1335" s="18">
        <v>8727</v>
      </c>
      <c r="G1335" s="125">
        <f t="shared" si="40"/>
        <v>0</v>
      </c>
      <c r="H1335" s="247"/>
    </row>
    <row r="1336" spans="1:8" ht="16.5">
      <c r="A1336" s="3">
        <f>IF(F1336="","",COUNTA($F$1249:F1336))</f>
        <v>85</v>
      </c>
      <c r="B1336" s="25" t="s">
        <v>1846</v>
      </c>
      <c r="C1336" s="21" t="s">
        <v>2792</v>
      </c>
      <c r="E1336" s="18">
        <v>12000</v>
      </c>
      <c r="F1336" s="18">
        <v>12000</v>
      </c>
      <c r="G1336" s="125">
        <f t="shared" si="40"/>
        <v>0</v>
      </c>
      <c r="H1336" s="247"/>
    </row>
    <row r="1337" spans="1:8" ht="16.5">
      <c r="A1337" s="3">
        <f>IF(F1337="","",COUNTA($F$1249:F1337))</f>
        <v>86</v>
      </c>
      <c r="B1337" s="25" t="s">
        <v>1847</v>
      </c>
      <c r="C1337" s="21" t="s">
        <v>2792</v>
      </c>
      <c r="E1337" s="18">
        <v>15901</v>
      </c>
      <c r="F1337" s="18">
        <v>15901</v>
      </c>
      <c r="G1337" s="125">
        <f t="shared" si="40"/>
        <v>0</v>
      </c>
      <c r="H1337" s="247"/>
    </row>
    <row r="1338" spans="1:8" ht="16.5">
      <c r="A1338" s="3">
        <f>IF(F1338="","",COUNTA($F$1249:F1338))</f>
        <v>87</v>
      </c>
      <c r="B1338" s="25" t="s">
        <v>1848</v>
      </c>
      <c r="C1338" s="21" t="s">
        <v>2792</v>
      </c>
      <c r="E1338" s="18">
        <v>20636</v>
      </c>
      <c r="F1338" s="18">
        <v>20636</v>
      </c>
      <c r="G1338" s="125">
        <f t="shared" si="40"/>
        <v>0</v>
      </c>
      <c r="H1338" s="247"/>
    </row>
    <row r="1339" spans="1:8" ht="16.5">
      <c r="A1339" s="3">
        <f>IF(F1339="","",COUNTA($F$1249:F1339))</f>
        <v>88</v>
      </c>
      <c r="B1339" s="25" t="s">
        <v>1849</v>
      </c>
      <c r="C1339" s="21" t="s">
        <v>2792</v>
      </c>
      <c r="E1339" s="18">
        <v>24545</v>
      </c>
      <c r="F1339" s="18">
        <v>24545</v>
      </c>
      <c r="G1339" s="125">
        <f t="shared" si="40"/>
        <v>0</v>
      </c>
      <c r="H1339" s="247"/>
    </row>
    <row r="1340" spans="1:8" ht="16.5">
      <c r="A1340" s="3">
        <f>IF(F1340="","",COUNTA($F$1249:F1340))</f>
        <v>89</v>
      </c>
      <c r="B1340" s="25" t="s">
        <v>1850</v>
      </c>
      <c r="C1340" s="21" t="s">
        <v>2792</v>
      </c>
      <c r="E1340" s="18">
        <v>34909</v>
      </c>
      <c r="F1340" s="18">
        <v>34909</v>
      </c>
      <c r="G1340" s="125">
        <f t="shared" si="40"/>
        <v>0</v>
      </c>
      <c r="H1340" s="247"/>
    </row>
    <row r="1341" spans="1:8" ht="16.5">
      <c r="A1341" s="3">
        <f>IF(F1341="","",COUNTA($F$1249:F1341))</f>
        <v>90</v>
      </c>
      <c r="B1341" s="25" t="s">
        <v>1851</v>
      </c>
      <c r="C1341" s="21" t="s">
        <v>2792</v>
      </c>
      <c r="E1341" s="18">
        <v>44273</v>
      </c>
      <c r="F1341" s="18">
        <v>44273</v>
      </c>
      <c r="G1341" s="125">
        <f t="shared" si="40"/>
        <v>0</v>
      </c>
      <c r="H1341" s="247"/>
    </row>
    <row r="1342" spans="1:8" ht="16.5">
      <c r="A1342" s="3">
        <f>IF(F1342="","",COUNTA($F$1249:F1342))</f>
        <v>91</v>
      </c>
      <c r="B1342" s="25" t="s">
        <v>1852</v>
      </c>
      <c r="C1342" s="21" t="s">
        <v>2792</v>
      </c>
      <c r="E1342" s="18">
        <v>54727</v>
      </c>
      <c r="F1342" s="18">
        <v>54727</v>
      </c>
      <c r="G1342" s="125">
        <f t="shared" si="40"/>
        <v>0</v>
      </c>
      <c r="H1342" s="247"/>
    </row>
    <row r="1343" spans="1:8" ht="16.5">
      <c r="A1343" s="3">
        <f>IF(F1343="","",COUNTA($F$1249:F1343))</f>
        <v>92</v>
      </c>
      <c r="B1343" s="25" t="s">
        <v>1853</v>
      </c>
      <c r="C1343" s="21" t="s">
        <v>2792</v>
      </c>
      <c r="E1343" s="18">
        <v>81545</v>
      </c>
      <c r="F1343" s="18">
        <v>81545</v>
      </c>
      <c r="G1343" s="125">
        <f t="shared" si="40"/>
        <v>0</v>
      </c>
      <c r="H1343" s="247"/>
    </row>
    <row r="1344" spans="1:8" ht="16.5">
      <c r="A1344" s="3">
        <f>IF(F1344="","",COUNTA($F$1249:F1344))</f>
        <v>93</v>
      </c>
      <c r="B1344" s="25" t="s">
        <v>1854</v>
      </c>
      <c r="C1344" s="21" t="s">
        <v>2792</v>
      </c>
      <c r="E1344" s="18">
        <v>100818</v>
      </c>
      <c r="F1344" s="18">
        <v>100818</v>
      </c>
      <c r="G1344" s="125">
        <f t="shared" si="40"/>
        <v>0</v>
      </c>
      <c r="H1344" s="247"/>
    </row>
    <row r="1345" spans="1:8" ht="16.5">
      <c r="A1345" s="3">
        <f>IF(F1345="","",COUNTA($F$1249:F1345))</f>
        <v>94</v>
      </c>
      <c r="B1345" s="25" t="s">
        <v>1855</v>
      </c>
      <c r="C1345" s="21" t="s">
        <v>2792</v>
      </c>
      <c r="E1345" s="18">
        <v>10545</v>
      </c>
      <c r="F1345" s="18">
        <v>10545</v>
      </c>
      <c r="G1345" s="125">
        <f t="shared" si="40"/>
        <v>0</v>
      </c>
      <c r="H1345" s="247"/>
    </row>
    <row r="1346" spans="1:8" ht="16.5">
      <c r="A1346" s="3">
        <f>IF(F1346="","",COUNTA($F$1249:F1346))</f>
        <v>95</v>
      </c>
      <c r="B1346" s="25" t="s">
        <v>1856</v>
      </c>
      <c r="C1346" s="21" t="s">
        <v>2792</v>
      </c>
      <c r="E1346" s="18">
        <v>13273</v>
      </c>
      <c r="F1346" s="18">
        <v>13273</v>
      </c>
      <c r="G1346" s="125">
        <f aca="true" t="shared" si="41" ref="G1346:G1409">(E1346-F1346)/E1346</f>
        <v>0</v>
      </c>
      <c r="H1346" s="247"/>
    </row>
    <row r="1347" spans="1:8" ht="16.5">
      <c r="A1347" s="3">
        <f>IF(F1347="","",COUNTA($F$1249:F1347))</f>
        <v>96</v>
      </c>
      <c r="B1347" s="25" t="s">
        <v>1857</v>
      </c>
      <c r="C1347" s="21" t="s">
        <v>2792</v>
      </c>
      <c r="E1347" s="18">
        <v>18364</v>
      </c>
      <c r="F1347" s="18">
        <v>18364</v>
      </c>
      <c r="G1347" s="125">
        <f t="shared" si="41"/>
        <v>0</v>
      </c>
      <c r="H1347" s="247"/>
    </row>
    <row r="1348" spans="1:8" ht="16.5">
      <c r="A1348" s="3">
        <f>IF(F1348="","",COUNTA($F$1249:F1348))</f>
        <v>97</v>
      </c>
      <c r="B1348" s="25" t="s">
        <v>1858</v>
      </c>
      <c r="C1348" s="21" t="s">
        <v>2792</v>
      </c>
      <c r="E1348" s="18">
        <v>23545</v>
      </c>
      <c r="F1348" s="18">
        <v>23545</v>
      </c>
      <c r="G1348" s="125">
        <f t="shared" si="41"/>
        <v>0</v>
      </c>
      <c r="H1348" s="247"/>
    </row>
    <row r="1349" spans="1:8" ht="16.5">
      <c r="A1349" s="3">
        <f>IF(F1349="","",COUNTA($F$1249:F1349))</f>
        <v>98</v>
      </c>
      <c r="B1349" s="25" t="s">
        <v>1859</v>
      </c>
      <c r="C1349" s="21" t="s">
        <v>2792</v>
      </c>
      <c r="E1349" s="18">
        <v>28364</v>
      </c>
      <c r="F1349" s="18">
        <v>28364</v>
      </c>
      <c r="G1349" s="125">
        <f t="shared" si="41"/>
        <v>0</v>
      </c>
      <c r="H1349" s="247"/>
    </row>
    <row r="1350" spans="1:8" ht="16.5">
      <c r="A1350" s="3">
        <f>IF(F1350="","",COUNTA($F$1249:F1350))</f>
        <v>99</v>
      </c>
      <c r="B1350" s="25" t="s">
        <v>1860</v>
      </c>
      <c r="C1350" s="21" t="s">
        <v>2792</v>
      </c>
      <c r="E1350" s="18">
        <v>40636</v>
      </c>
      <c r="F1350" s="18">
        <v>40636</v>
      </c>
      <c r="G1350" s="125">
        <f t="shared" si="41"/>
        <v>0</v>
      </c>
      <c r="H1350" s="247"/>
    </row>
    <row r="1351" spans="1:8" ht="16.5">
      <c r="A1351" s="3">
        <f>IF(F1351="","",COUNTA($F$1249:F1351))</f>
        <v>100</v>
      </c>
      <c r="B1351" s="25" t="s">
        <v>1861</v>
      </c>
      <c r="C1351" s="21" t="s">
        <v>2792</v>
      </c>
      <c r="E1351" s="18">
        <v>57818</v>
      </c>
      <c r="F1351" s="18">
        <v>57818</v>
      </c>
      <c r="G1351" s="125">
        <f t="shared" si="41"/>
        <v>0</v>
      </c>
      <c r="H1351" s="247"/>
    </row>
    <row r="1352" spans="1:8" ht="16.5">
      <c r="A1352" s="3">
        <f>IF(F1352="","",COUNTA($F$1249:F1352))</f>
        <v>101</v>
      </c>
      <c r="B1352" s="25" t="s">
        <v>1862</v>
      </c>
      <c r="C1352" s="21" t="s">
        <v>2792</v>
      </c>
      <c r="E1352" s="18">
        <v>63364</v>
      </c>
      <c r="F1352" s="18">
        <v>63364</v>
      </c>
      <c r="G1352" s="125">
        <f t="shared" si="41"/>
        <v>0</v>
      </c>
      <c r="H1352" s="247"/>
    </row>
    <row r="1353" spans="1:8" ht="16.5">
      <c r="A1353" s="3">
        <f>IF(F1353="","",COUNTA($F$1249:F1353))</f>
        <v>102</v>
      </c>
      <c r="B1353" s="25" t="s">
        <v>1863</v>
      </c>
      <c r="C1353" s="21" t="s">
        <v>2792</v>
      </c>
      <c r="E1353" s="18">
        <v>92818</v>
      </c>
      <c r="F1353" s="18">
        <v>92818</v>
      </c>
      <c r="G1353" s="125">
        <f t="shared" si="41"/>
        <v>0</v>
      </c>
      <c r="H1353" s="247"/>
    </row>
    <row r="1354" spans="1:8" ht="16.5">
      <c r="A1354" s="3">
        <f>IF(F1354="","",COUNTA($F$1249:F1354))</f>
        <v>103</v>
      </c>
      <c r="B1354" s="25" t="s">
        <v>1864</v>
      </c>
      <c r="C1354" s="21" t="s">
        <v>2792</v>
      </c>
      <c r="E1354" s="18">
        <v>119364</v>
      </c>
      <c r="F1354" s="18">
        <v>119364</v>
      </c>
      <c r="G1354" s="125">
        <f t="shared" si="41"/>
        <v>0</v>
      </c>
      <c r="H1354" s="247"/>
    </row>
    <row r="1355" spans="1:8" ht="33">
      <c r="A1355" s="3">
        <f>IF(F1355="","",COUNTA($F$1249:F1355))</f>
        <v>104</v>
      </c>
      <c r="B1355" s="25" t="s">
        <v>1865</v>
      </c>
      <c r="C1355" s="21" t="s">
        <v>1866</v>
      </c>
      <c r="E1355" s="18">
        <v>5182</v>
      </c>
      <c r="F1355" s="18">
        <v>5182</v>
      </c>
      <c r="G1355" s="125">
        <f t="shared" si="41"/>
        <v>0</v>
      </c>
      <c r="H1355" s="247"/>
    </row>
    <row r="1356" spans="1:8" ht="33">
      <c r="A1356" s="3">
        <f>IF(F1356="","",COUNTA($F$1249:F1356))</f>
        <v>105</v>
      </c>
      <c r="B1356" s="25" t="s">
        <v>1867</v>
      </c>
      <c r="C1356" s="21" t="s">
        <v>1866</v>
      </c>
      <c r="E1356" s="18">
        <v>12909</v>
      </c>
      <c r="F1356" s="18">
        <v>12909</v>
      </c>
      <c r="G1356" s="125">
        <f t="shared" si="41"/>
        <v>0</v>
      </c>
      <c r="H1356" s="247"/>
    </row>
    <row r="1357" spans="1:8" ht="33">
      <c r="A1357" s="3">
        <f>IF(F1357="","",COUNTA($F$1249:F1357))</f>
        <v>106</v>
      </c>
      <c r="B1357" s="25" t="s">
        <v>1868</v>
      </c>
      <c r="C1357" s="21" t="s">
        <v>1866</v>
      </c>
      <c r="E1357" s="18">
        <v>19091</v>
      </c>
      <c r="F1357" s="18">
        <v>19091</v>
      </c>
      <c r="G1357" s="125">
        <f t="shared" si="41"/>
        <v>0</v>
      </c>
      <c r="H1357" s="247"/>
    </row>
    <row r="1358" spans="1:8" ht="33">
      <c r="A1358" s="3">
        <f>IF(F1358="","",COUNTA($F$1249:F1358))</f>
        <v>107</v>
      </c>
      <c r="B1358" s="25" t="s">
        <v>1869</v>
      </c>
      <c r="C1358" s="21" t="s">
        <v>1866</v>
      </c>
      <c r="E1358" s="18">
        <v>31727</v>
      </c>
      <c r="F1358" s="18">
        <v>31727</v>
      </c>
      <c r="G1358" s="125">
        <f t="shared" si="41"/>
        <v>0</v>
      </c>
      <c r="H1358" s="247"/>
    </row>
    <row r="1359" spans="1:8" ht="33">
      <c r="A1359" s="3">
        <f>IF(F1359="","",COUNTA($F$1249:F1359))</f>
        <v>108</v>
      </c>
      <c r="B1359" s="25" t="s">
        <v>1870</v>
      </c>
      <c r="C1359" s="21" t="s">
        <v>1866</v>
      </c>
      <c r="E1359" s="18">
        <v>55727</v>
      </c>
      <c r="F1359" s="18">
        <v>55727</v>
      </c>
      <c r="G1359" s="125">
        <f t="shared" si="41"/>
        <v>0</v>
      </c>
      <c r="H1359" s="247"/>
    </row>
    <row r="1360" spans="1:8" ht="33">
      <c r="A1360" s="3">
        <f>IF(F1360="","",COUNTA($F$1249:F1360))</f>
        <v>109</v>
      </c>
      <c r="B1360" s="25" t="s">
        <v>1871</v>
      </c>
      <c r="C1360" s="21" t="s">
        <v>1866</v>
      </c>
      <c r="E1360" s="18">
        <v>8364</v>
      </c>
      <c r="F1360" s="18">
        <v>8364</v>
      </c>
      <c r="G1360" s="125">
        <f t="shared" si="41"/>
        <v>0</v>
      </c>
      <c r="H1360" s="247"/>
    </row>
    <row r="1361" spans="1:8" ht="33">
      <c r="A1361" s="3">
        <f>IF(F1361="","",COUNTA($F$1249:F1361))</f>
        <v>110</v>
      </c>
      <c r="B1361" s="25" t="s">
        <v>1872</v>
      </c>
      <c r="C1361" s="21" t="s">
        <v>1866</v>
      </c>
      <c r="E1361" s="18">
        <v>12364</v>
      </c>
      <c r="F1361" s="18">
        <v>12364</v>
      </c>
      <c r="G1361" s="125">
        <f t="shared" si="41"/>
        <v>0</v>
      </c>
      <c r="H1361" s="247"/>
    </row>
    <row r="1362" spans="1:8" ht="33">
      <c r="A1362" s="3">
        <f>IF(F1362="","",COUNTA($F$1249:F1362))</f>
        <v>111</v>
      </c>
      <c r="B1362" s="25" t="s">
        <v>1873</v>
      </c>
      <c r="C1362" s="21" t="s">
        <v>1866</v>
      </c>
      <c r="E1362" s="18">
        <v>37818</v>
      </c>
      <c r="F1362" s="18">
        <v>37818</v>
      </c>
      <c r="G1362" s="125">
        <f t="shared" si="41"/>
        <v>0</v>
      </c>
      <c r="H1362" s="247"/>
    </row>
    <row r="1363" spans="1:8" ht="33">
      <c r="A1363" s="3">
        <f>IF(F1363="","",COUNTA($F$1249:F1363))</f>
        <v>112</v>
      </c>
      <c r="B1363" s="25" t="s">
        <v>1874</v>
      </c>
      <c r="C1363" s="21" t="s">
        <v>1866</v>
      </c>
      <c r="E1363" s="18">
        <v>59091</v>
      </c>
      <c r="F1363" s="18">
        <v>59091</v>
      </c>
      <c r="G1363" s="125">
        <f t="shared" si="41"/>
        <v>0</v>
      </c>
      <c r="H1363" s="247"/>
    </row>
    <row r="1364" spans="1:8" ht="16.5">
      <c r="A1364" s="3">
        <f>IF(F1364="","",COUNTA($F$1249:F1364))</f>
        <v>113</v>
      </c>
      <c r="B1364" s="25" t="s">
        <v>1875</v>
      </c>
      <c r="C1364" s="21" t="s">
        <v>1866</v>
      </c>
      <c r="E1364" s="18">
        <v>4909</v>
      </c>
      <c r="F1364" s="18">
        <v>4909</v>
      </c>
      <c r="G1364" s="125">
        <f t="shared" si="41"/>
        <v>0</v>
      </c>
      <c r="H1364" s="247"/>
    </row>
    <row r="1365" spans="1:8" ht="16.5">
      <c r="A1365" s="3">
        <f>IF(F1365="","",COUNTA($F$1249:F1365))</f>
        <v>114</v>
      </c>
      <c r="B1365" s="25" t="s">
        <v>1876</v>
      </c>
      <c r="C1365" s="21" t="s">
        <v>1866</v>
      </c>
      <c r="E1365" s="18">
        <v>10364</v>
      </c>
      <c r="F1365" s="18">
        <v>10364</v>
      </c>
      <c r="G1365" s="125">
        <f t="shared" si="41"/>
        <v>0</v>
      </c>
      <c r="H1365" s="247"/>
    </row>
    <row r="1366" spans="1:8" ht="16.5">
      <c r="A1366" s="3">
        <f>IF(F1366="","",COUNTA($F$1249:F1366))</f>
        <v>115</v>
      </c>
      <c r="B1366" s="25" t="s">
        <v>1877</v>
      </c>
      <c r="C1366" s="21" t="s">
        <v>1866</v>
      </c>
      <c r="E1366" s="18">
        <v>16364</v>
      </c>
      <c r="F1366" s="18">
        <v>16364</v>
      </c>
      <c r="G1366" s="125">
        <f t="shared" si="41"/>
        <v>0</v>
      </c>
      <c r="H1366" s="247"/>
    </row>
    <row r="1367" spans="1:8" ht="16.5">
      <c r="A1367" s="3">
        <f>IF(F1367="","",COUNTA($F$1249:F1367))</f>
        <v>116</v>
      </c>
      <c r="B1367" s="25" t="s">
        <v>1878</v>
      </c>
      <c r="C1367" s="21" t="s">
        <v>1866</v>
      </c>
      <c r="E1367" s="18">
        <v>28000</v>
      </c>
      <c r="F1367" s="18">
        <v>28000</v>
      </c>
      <c r="G1367" s="125">
        <f t="shared" si="41"/>
        <v>0</v>
      </c>
      <c r="H1367" s="247"/>
    </row>
    <row r="1368" spans="1:8" ht="16.5">
      <c r="A1368" s="3">
        <f>IF(F1368="","",COUNTA($F$1249:F1368))</f>
        <v>117</v>
      </c>
      <c r="B1368" s="25" t="s">
        <v>1879</v>
      </c>
      <c r="C1368" s="21" t="s">
        <v>1866</v>
      </c>
      <c r="E1368" s="18">
        <v>50000</v>
      </c>
      <c r="F1368" s="18">
        <v>50000</v>
      </c>
      <c r="G1368" s="125">
        <f t="shared" si="41"/>
        <v>0</v>
      </c>
      <c r="H1368" s="247"/>
    </row>
    <row r="1369" spans="1:8" ht="16.5">
      <c r="A1369" s="3">
        <f>IF(F1369="","",COUNTA($F$1249:F1369))</f>
        <v>118</v>
      </c>
      <c r="B1369" s="25" t="s">
        <v>1880</v>
      </c>
      <c r="C1369" s="21" t="s">
        <v>1866</v>
      </c>
      <c r="E1369" s="18">
        <v>77273</v>
      </c>
      <c r="F1369" s="18">
        <v>77273</v>
      </c>
      <c r="G1369" s="125">
        <f t="shared" si="41"/>
        <v>0</v>
      </c>
      <c r="H1369" s="247"/>
    </row>
    <row r="1370" spans="1:8" ht="16.5">
      <c r="A1370" s="3">
        <f>IF(F1370="","",COUNTA($F$1249:F1370))</f>
        <v>119</v>
      </c>
      <c r="B1370" s="25" t="s">
        <v>1881</v>
      </c>
      <c r="C1370" s="21" t="s">
        <v>1866</v>
      </c>
      <c r="E1370" s="18">
        <v>15091</v>
      </c>
      <c r="F1370" s="18">
        <v>15091</v>
      </c>
      <c r="G1370" s="125">
        <f t="shared" si="41"/>
        <v>0</v>
      </c>
      <c r="H1370" s="247"/>
    </row>
    <row r="1371" spans="1:8" ht="16.5">
      <c r="A1371" s="3">
        <f>IF(F1371="","",COUNTA($F$1249:F1371))</f>
        <v>120</v>
      </c>
      <c r="B1371" s="25" t="s">
        <v>1882</v>
      </c>
      <c r="C1371" s="21" t="s">
        <v>1866</v>
      </c>
      <c r="E1371" s="18">
        <v>20273</v>
      </c>
      <c r="F1371" s="18">
        <v>20273</v>
      </c>
      <c r="G1371" s="125">
        <f t="shared" si="41"/>
        <v>0</v>
      </c>
      <c r="H1371" s="247"/>
    </row>
    <row r="1372" spans="1:8" ht="16.5">
      <c r="A1372" s="3">
        <f>IF(F1372="","",COUNTA($F$1249:F1372))</f>
        <v>121</v>
      </c>
      <c r="B1372" s="25" t="s">
        <v>1883</v>
      </c>
      <c r="C1372" s="21" t="s">
        <v>1866</v>
      </c>
      <c r="E1372" s="18">
        <v>39000</v>
      </c>
      <c r="F1372" s="18">
        <v>39000</v>
      </c>
      <c r="G1372" s="125">
        <f t="shared" si="41"/>
        <v>0</v>
      </c>
      <c r="H1372" s="247"/>
    </row>
    <row r="1373" spans="1:8" ht="16.5">
      <c r="A1373" s="3">
        <f>IF(F1373="","",COUNTA($F$1249:F1373))</f>
        <v>122</v>
      </c>
      <c r="B1373" s="25" t="s">
        <v>1884</v>
      </c>
      <c r="C1373" s="21" t="s">
        <v>1866</v>
      </c>
      <c r="E1373" s="18">
        <v>48636</v>
      </c>
      <c r="F1373" s="18">
        <v>48636</v>
      </c>
      <c r="G1373" s="125">
        <f t="shared" si="41"/>
        <v>0</v>
      </c>
      <c r="H1373" s="247"/>
    </row>
    <row r="1374" spans="1:8" ht="16.5">
      <c r="A1374" s="3">
        <f>IF(F1374="","",COUNTA($F$1249:F1374))</f>
        <v>123</v>
      </c>
      <c r="B1374" s="25" t="s">
        <v>1885</v>
      </c>
      <c r="C1374" s="21" t="s">
        <v>1866</v>
      </c>
      <c r="E1374" s="18">
        <v>72182</v>
      </c>
      <c r="F1374" s="18">
        <v>72182</v>
      </c>
      <c r="G1374" s="125">
        <f t="shared" si="41"/>
        <v>0</v>
      </c>
      <c r="H1374" s="247"/>
    </row>
    <row r="1375" spans="1:8" ht="16.5">
      <c r="A1375" s="3">
        <f>IF(F1375="","",COUNTA($F$1249:F1375))</f>
        <v>124</v>
      </c>
      <c r="B1375" s="25" t="s">
        <v>1886</v>
      </c>
      <c r="C1375" s="21" t="s">
        <v>2792</v>
      </c>
      <c r="E1375" s="18">
        <v>21727</v>
      </c>
      <c r="F1375" s="18">
        <v>21727</v>
      </c>
      <c r="G1375" s="125">
        <f t="shared" si="41"/>
        <v>0</v>
      </c>
      <c r="H1375" s="247"/>
    </row>
    <row r="1376" spans="1:8" ht="16.5">
      <c r="A1376" s="3">
        <f>IF(F1376="","",COUNTA($F$1249:F1376))</f>
        <v>125</v>
      </c>
      <c r="B1376" s="25" t="s">
        <v>1887</v>
      </c>
      <c r="C1376" s="21" t="s">
        <v>2792</v>
      </c>
      <c r="E1376" s="18">
        <v>33909</v>
      </c>
      <c r="F1376" s="18">
        <v>33909</v>
      </c>
      <c r="G1376" s="125">
        <f t="shared" si="41"/>
        <v>0</v>
      </c>
      <c r="H1376" s="247"/>
    </row>
    <row r="1377" spans="1:8" ht="16.5">
      <c r="A1377" s="3">
        <f>IF(F1377="","",COUNTA($F$1249:F1377))</f>
        <v>126</v>
      </c>
      <c r="B1377" s="25" t="s">
        <v>1888</v>
      </c>
      <c r="C1377" s="21" t="s">
        <v>2792</v>
      </c>
      <c r="E1377" s="18">
        <v>46182</v>
      </c>
      <c r="F1377" s="18">
        <v>46182</v>
      </c>
      <c r="G1377" s="125">
        <f t="shared" si="41"/>
        <v>0</v>
      </c>
      <c r="H1377" s="247"/>
    </row>
    <row r="1378" spans="1:8" ht="16.5">
      <c r="A1378" s="3">
        <f>IF(F1378="","",COUNTA($F$1249:F1378))</f>
        <v>127</v>
      </c>
      <c r="B1378" s="25" t="s">
        <v>1889</v>
      </c>
      <c r="C1378" s="21" t="s">
        <v>2792</v>
      </c>
      <c r="E1378" s="18">
        <v>75727</v>
      </c>
      <c r="F1378" s="18">
        <v>75727</v>
      </c>
      <c r="G1378" s="125">
        <f t="shared" si="41"/>
        <v>0</v>
      </c>
      <c r="H1378" s="247"/>
    </row>
    <row r="1379" spans="1:8" ht="16.5">
      <c r="A1379" s="3">
        <f>IF(F1379="","",COUNTA($F$1249:F1379))</f>
        <v>128</v>
      </c>
      <c r="B1379" s="25" t="s">
        <v>1890</v>
      </c>
      <c r="C1379" s="21" t="s">
        <v>2792</v>
      </c>
      <c r="E1379" s="18">
        <v>97273</v>
      </c>
      <c r="F1379" s="18">
        <v>97273</v>
      </c>
      <c r="G1379" s="125">
        <f t="shared" si="41"/>
        <v>0</v>
      </c>
      <c r="H1379" s="247"/>
    </row>
    <row r="1380" spans="1:8" ht="16.5">
      <c r="A1380" s="3">
        <f>IF(F1380="","",COUNTA($F$1249:F1380))</f>
        <v>129</v>
      </c>
      <c r="B1380" s="25" t="s">
        <v>1891</v>
      </c>
      <c r="C1380" s="21" t="s">
        <v>2792</v>
      </c>
      <c r="E1380" s="18">
        <v>13182</v>
      </c>
      <c r="F1380" s="18">
        <v>13182</v>
      </c>
      <c r="G1380" s="125">
        <f t="shared" si="41"/>
        <v>0</v>
      </c>
      <c r="H1380" s="247"/>
    </row>
    <row r="1381" spans="1:8" ht="16.5">
      <c r="A1381" s="3">
        <f>IF(F1381="","",COUNTA($F$1249:F1381))</f>
        <v>130</v>
      </c>
      <c r="B1381" s="25" t="s">
        <v>1892</v>
      </c>
      <c r="C1381" s="21" t="s">
        <v>2792</v>
      </c>
      <c r="E1381" s="18">
        <v>20091</v>
      </c>
      <c r="F1381" s="18">
        <v>20091</v>
      </c>
      <c r="G1381" s="125">
        <f t="shared" si="41"/>
        <v>0</v>
      </c>
      <c r="H1381" s="247"/>
    </row>
    <row r="1382" spans="1:8" ht="16.5">
      <c r="A1382" s="3">
        <f>IF(F1382="","",COUNTA($F$1249:F1382))</f>
        <v>131</v>
      </c>
      <c r="B1382" s="25" t="s">
        <v>1893</v>
      </c>
      <c r="C1382" s="21" t="s">
        <v>2792</v>
      </c>
      <c r="E1382" s="18">
        <v>30818</v>
      </c>
      <c r="F1382" s="18">
        <v>30818</v>
      </c>
      <c r="G1382" s="125">
        <f t="shared" si="41"/>
        <v>0</v>
      </c>
      <c r="H1382" s="247"/>
    </row>
    <row r="1383" spans="1:8" ht="16.5">
      <c r="A1383" s="3">
        <f>IF(F1383="","",COUNTA($F$1249:F1383))</f>
        <v>132</v>
      </c>
      <c r="B1383" s="25" t="s">
        <v>1894</v>
      </c>
      <c r="C1383" s="21" t="s">
        <v>2792</v>
      </c>
      <c r="E1383" s="18">
        <v>49273</v>
      </c>
      <c r="F1383" s="18">
        <v>49273</v>
      </c>
      <c r="G1383" s="125">
        <f t="shared" si="41"/>
        <v>0</v>
      </c>
      <c r="H1383" s="247"/>
    </row>
    <row r="1384" spans="1:8" ht="16.5">
      <c r="A1384" s="3">
        <f>IF(F1384="","",COUNTA($F$1249:F1384))</f>
        <v>133</v>
      </c>
      <c r="B1384" s="25" t="s">
        <v>1895</v>
      </c>
      <c r="C1384" s="21" t="s">
        <v>2792</v>
      </c>
      <c r="E1384" s="18">
        <v>70273</v>
      </c>
      <c r="F1384" s="18">
        <v>70273</v>
      </c>
      <c r="G1384" s="125">
        <f t="shared" si="41"/>
        <v>0</v>
      </c>
      <c r="H1384" s="247"/>
    </row>
    <row r="1385" spans="1:8" ht="16.5">
      <c r="A1385" s="3">
        <f>IF(F1385="","",COUNTA($F$1249:F1385))</f>
        <v>134</v>
      </c>
      <c r="B1385" s="25" t="s">
        <v>1896</v>
      </c>
      <c r="C1385" s="21" t="s">
        <v>2792</v>
      </c>
      <c r="E1385" s="18">
        <v>99727</v>
      </c>
      <c r="F1385" s="18">
        <v>99727</v>
      </c>
      <c r="G1385" s="125">
        <f t="shared" si="41"/>
        <v>0</v>
      </c>
      <c r="H1385" s="247"/>
    </row>
    <row r="1386" spans="1:8" ht="16.5">
      <c r="A1386" s="3">
        <f>IF(F1386="","",COUNTA($F$1249:F1386))</f>
        <v>135</v>
      </c>
      <c r="B1386" s="25" t="s">
        <v>1897</v>
      </c>
      <c r="C1386" s="21" t="s">
        <v>2792</v>
      </c>
      <c r="E1386" s="18">
        <v>151091</v>
      </c>
      <c r="F1386" s="18">
        <v>151091</v>
      </c>
      <c r="G1386" s="125">
        <f t="shared" si="41"/>
        <v>0</v>
      </c>
      <c r="H1386" s="247"/>
    </row>
    <row r="1387" spans="1:8" ht="16.5">
      <c r="A1387" s="3">
        <f>IF(F1387="","",COUNTA($F$1249:F1387))</f>
        <v>136</v>
      </c>
      <c r="B1387" s="25" t="s">
        <v>1898</v>
      </c>
      <c r="C1387" s="21" t="s">
        <v>2792</v>
      </c>
      <c r="E1387" s="18">
        <v>7727</v>
      </c>
      <c r="F1387" s="18">
        <v>7727</v>
      </c>
      <c r="G1387" s="125">
        <f t="shared" si="41"/>
        <v>0</v>
      </c>
      <c r="H1387" s="247"/>
    </row>
    <row r="1388" spans="1:8" ht="16.5">
      <c r="A1388" s="3">
        <f>IF(F1388="","",COUNTA($F$1249:F1388))</f>
        <v>137</v>
      </c>
      <c r="B1388" s="25" t="s">
        <v>1899</v>
      </c>
      <c r="C1388" s="21" t="s">
        <v>2792</v>
      </c>
      <c r="E1388" s="18">
        <v>11727</v>
      </c>
      <c r="F1388" s="18">
        <v>11727</v>
      </c>
      <c r="G1388" s="125">
        <f t="shared" si="41"/>
        <v>0</v>
      </c>
      <c r="H1388" s="247"/>
    </row>
    <row r="1389" spans="1:8" ht="16.5">
      <c r="A1389" s="3">
        <f>IF(F1389="","",COUNTA($F$1249:F1389))</f>
        <v>138</v>
      </c>
      <c r="B1389" s="25" t="s">
        <v>1900</v>
      </c>
      <c r="C1389" s="21" t="s">
        <v>2792</v>
      </c>
      <c r="E1389" s="18">
        <v>18818</v>
      </c>
      <c r="F1389" s="18">
        <v>18818</v>
      </c>
      <c r="G1389" s="125">
        <f t="shared" si="41"/>
        <v>0</v>
      </c>
      <c r="H1389" s="247"/>
    </row>
    <row r="1390" spans="1:8" ht="16.5">
      <c r="A1390" s="3">
        <f>IF(F1390="","",COUNTA($F$1249:F1390))</f>
        <v>139</v>
      </c>
      <c r="B1390" s="25" t="s">
        <v>1901</v>
      </c>
      <c r="C1390" s="21" t="s">
        <v>2792</v>
      </c>
      <c r="E1390" s="18">
        <v>29182</v>
      </c>
      <c r="F1390" s="18">
        <v>29182</v>
      </c>
      <c r="G1390" s="125">
        <f t="shared" si="41"/>
        <v>0</v>
      </c>
      <c r="H1390" s="247"/>
    </row>
    <row r="1391" spans="1:8" ht="16.5">
      <c r="A1391" s="3">
        <f>IF(F1391="","",COUNTA($F$1249:F1391))</f>
        <v>140</v>
      </c>
      <c r="B1391" s="25" t="s">
        <v>1902</v>
      </c>
      <c r="C1391" s="21" t="s">
        <v>2792</v>
      </c>
      <c r="E1391" s="18">
        <v>45273</v>
      </c>
      <c r="F1391" s="18">
        <v>45273</v>
      </c>
      <c r="G1391" s="125">
        <f t="shared" si="41"/>
        <v>0</v>
      </c>
      <c r="H1391" s="247"/>
    </row>
    <row r="1392" spans="1:8" ht="16.5">
      <c r="A1392" s="3">
        <f>IF(F1392="","",COUNTA($F$1249:F1392))</f>
        <v>141</v>
      </c>
      <c r="B1392" s="25" t="s">
        <v>1903</v>
      </c>
      <c r="C1392" s="21" t="s">
        <v>2792</v>
      </c>
      <c r="E1392" s="18">
        <v>71182</v>
      </c>
      <c r="F1392" s="18">
        <v>71182</v>
      </c>
      <c r="G1392" s="125">
        <f t="shared" si="41"/>
        <v>0</v>
      </c>
      <c r="H1392" s="247"/>
    </row>
    <row r="1393" spans="1:8" ht="16.5">
      <c r="A1393" s="3">
        <f>IF(F1393="","",COUNTA($F$1249:F1393))</f>
        <v>142</v>
      </c>
      <c r="B1393" s="25" t="s">
        <v>1904</v>
      </c>
      <c r="C1393" s="21" t="s">
        <v>2792</v>
      </c>
      <c r="E1393" s="18">
        <v>101091</v>
      </c>
      <c r="F1393" s="18">
        <v>101091</v>
      </c>
      <c r="G1393" s="125">
        <f t="shared" si="41"/>
        <v>0</v>
      </c>
      <c r="H1393" s="247"/>
    </row>
    <row r="1394" spans="1:8" ht="16.5">
      <c r="A1394" s="3">
        <f>IF(F1394="","",COUNTA($F$1249:F1394))</f>
        <v>143</v>
      </c>
      <c r="B1394" s="25" t="s">
        <v>1905</v>
      </c>
      <c r="C1394" s="21" t="s">
        <v>2792</v>
      </c>
      <c r="E1394" s="18">
        <v>144727</v>
      </c>
      <c r="F1394" s="18">
        <v>144727</v>
      </c>
      <c r="G1394" s="125">
        <f t="shared" si="41"/>
        <v>0</v>
      </c>
      <c r="H1394" s="247"/>
    </row>
    <row r="1395" spans="1:8" ht="16.5">
      <c r="A1395" s="3">
        <f>IF(F1395="","",COUNTA($F$1249:F1395))</f>
        <v>144</v>
      </c>
      <c r="B1395" s="25" t="s">
        <v>1906</v>
      </c>
      <c r="C1395" s="21" t="s">
        <v>2792</v>
      </c>
      <c r="E1395" s="18">
        <v>218000</v>
      </c>
      <c r="F1395" s="18">
        <v>218000</v>
      </c>
      <c r="G1395" s="125">
        <f t="shared" si="41"/>
        <v>0</v>
      </c>
      <c r="H1395" s="247"/>
    </row>
    <row r="1396" spans="1:8" ht="33">
      <c r="A1396" s="3">
        <f>IF(F1396="","",COUNTA($F$1249:F1396))</f>
        <v>145</v>
      </c>
      <c r="B1396" s="25" t="s">
        <v>1907</v>
      </c>
      <c r="C1396" s="21" t="s">
        <v>1866</v>
      </c>
      <c r="E1396" s="18">
        <v>13800</v>
      </c>
      <c r="F1396" s="18">
        <v>13800</v>
      </c>
      <c r="G1396" s="125">
        <f t="shared" si="41"/>
        <v>0</v>
      </c>
      <c r="H1396" s="247"/>
    </row>
    <row r="1397" spans="1:8" ht="33">
      <c r="A1397" s="3">
        <f>IF(F1397="","",COUNTA($F$1249:F1397))</f>
        <v>146</v>
      </c>
      <c r="B1397" s="25" t="s">
        <v>1908</v>
      </c>
      <c r="C1397" s="21" t="s">
        <v>1866</v>
      </c>
      <c r="E1397" s="18">
        <v>20000</v>
      </c>
      <c r="F1397" s="18">
        <v>20000</v>
      </c>
      <c r="G1397" s="125">
        <f t="shared" si="41"/>
        <v>0</v>
      </c>
      <c r="H1397" s="247"/>
    </row>
    <row r="1398" spans="1:8" ht="33">
      <c r="A1398" s="3">
        <f>IF(F1398="","",COUNTA($F$1249:F1398))</f>
        <v>147</v>
      </c>
      <c r="B1398" s="25" t="s">
        <v>1909</v>
      </c>
      <c r="C1398" s="21" t="s">
        <v>1866</v>
      </c>
      <c r="E1398" s="18">
        <v>28000</v>
      </c>
      <c r="F1398" s="18">
        <v>28000</v>
      </c>
      <c r="G1398" s="125">
        <f t="shared" si="41"/>
        <v>0</v>
      </c>
      <c r="H1398" s="247"/>
    </row>
    <row r="1399" spans="1:8" ht="33">
      <c r="A1399" s="3">
        <f>IF(F1399="","",COUNTA($F$1249:F1399))</f>
        <v>148</v>
      </c>
      <c r="B1399" s="25" t="s">
        <v>1910</v>
      </c>
      <c r="C1399" s="21" t="s">
        <v>1866</v>
      </c>
      <c r="E1399" s="18">
        <v>48500</v>
      </c>
      <c r="F1399" s="18">
        <v>48500</v>
      </c>
      <c r="G1399" s="125">
        <f t="shared" si="41"/>
        <v>0</v>
      </c>
      <c r="H1399" s="247"/>
    </row>
    <row r="1400" spans="1:8" ht="16.5">
      <c r="A1400" s="3">
        <f>IF(F1400="","",COUNTA($F$1249:F1400))</f>
        <v>149</v>
      </c>
      <c r="B1400" s="25" t="s">
        <v>1911</v>
      </c>
      <c r="C1400" s="21" t="s">
        <v>1866</v>
      </c>
      <c r="E1400" s="18">
        <v>20000</v>
      </c>
      <c r="F1400" s="18">
        <v>20000</v>
      </c>
      <c r="G1400" s="125">
        <f t="shared" si="41"/>
        <v>0</v>
      </c>
      <c r="H1400" s="247"/>
    </row>
    <row r="1401" spans="1:8" ht="16.5">
      <c r="A1401" s="3">
        <f>IF(F1401="","",COUNTA($F$1249:F1401))</f>
        <v>150</v>
      </c>
      <c r="B1401" s="25" t="s">
        <v>1912</v>
      </c>
      <c r="C1401" s="21" t="s">
        <v>1866</v>
      </c>
      <c r="E1401" s="18">
        <v>27000</v>
      </c>
      <c r="F1401" s="18">
        <v>27000</v>
      </c>
      <c r="G1401" s="125">
        <f t="shared" si="41"/>
        <v>0</v>
      </c>
      <c r="H1401" s="247"/>
    </row>
    <row r="1402" spans="1:8" ht="16.5">
      <c r="A1402" s="3">
        <f>IF(F1402="","",COUNTA($F$1249:F1402))</f>
        <v>151</v>
      </c>
      <c r="B1402" s="25" t="s">
        <v>1913</v>
      </c>
      <c r="C1402" s="21" t="s">
        <v>1866</v>
      </c>
      <c r="E1402" s="18">
        <v>41000</v>
      </c>
      <c r="F1402" s="18">
        <v>41000</v>
      </c>
      <c r="G1402" s="125">
        <f t="shared" si="41"/>
        <v>0</v>
      </c>
      <c r="H1402" s="247"/>
    </row>
    <row r="1403" spans="1:8" ht="16.5">
      <c r="A1403" s="3">
        <f>IF(F1403="","",COUNTA($F$1249:F1403))</f>
        <v>152</v>
      </c>
      <c r="B1403" s="25" t="s">
        <v>1914</v>
      </c>
      <c r="C1403" s="21" t="s">
        <v>1866</v>
      </c>
      <c r="E1403" s="18">
        <v>82000</v>
      </c>
      <c r="F1403" s="18">
        <v>82000</v>
      </c>
      <c r="G1403" s="125">
        <f t="shared" si="41"/>
        <v>0</v>
      </c>
      <c r="H1403" s="247"/>
    </row>
    <row r="1404" spans="1:8" ht="33">
      <c r="A1404" s="3">
        <f>IF(F1404="","",COUNTA($F$1249:F1404))</f>
        <v>153</v>
      </c>
      <c r="B1404" s="25" t="s">
        <v>1915</v>
      </c>
      <c r="C1404" s="21" t="s">
        <v>1866</v>
      </c>
      <c r="E1404" s="18">
        <v>16500</v>
      </c>
      <c r="F1404" s="18">
        <v>16500</v>
      </c>
      <c r="G1404" s="125">
        <f t="shared" si="41"/>
        <v>0</v>
      </c>
      <c r="H1404" s="247"/>
    </row>
    <row r="1405" spans="1:8" ht="33">
      <c r="A1405" s="3">
        <f>IF(F1405="","",COUNTA($F$1249:F1405))</f>
        <v>154</v>
      </c>
      <c r="B1405" s="25" t="s">
        <v>1916</v>
      </c>
      <c r="C1405" s="21" t="s">
        <v>1866</v>
      </c>
      <c r="E1405" s="18">
        <v>20000</v>
      </c>
      <c r="F1405" s="18">
        <v>20000</v>
      </c>
      <c r="G1405" s="125">
        <f t="shared" si="41"/>
        <v>0</v>
      </c>
      <c r="H1405" s="247"/>
    </row>
    <row r="1406" spans="1:8" ht="33">
      <c r="A1406" s="3">
        <f>IF(F1406="","",COUNTA($F$1249:F1406))</f>
        <v>155</v>
      </c>
      <c r="B1406" s="25" t="s">
        <v>1917</v>
      </c>
      <c r="C1406" s="21" t="s">
        <v>1866</v>
      </c>
      <c r="E1406" s="18">
        <v>28800</v>
      </c>
      <c r="F1406" s="18">
        <v>28800</v>
      </c>
      <c r="G1406" s="125">
        <f t="shared" si="41"/>
        <v>0</v>
      </c>
      <c r="H1406" s="247"/>
    </row>
    <row r="1407" spans="1:8" ht="33">
      <c r="A1407" s="3">
        <f>IF(F1407="","",COUNTA($F$1249:F1407))</f>
        <v>156</v>
      </c>
      <c r="B1407" s="25" t="s">
        <v>1918</v>
      </c>
      <c r="C1407" s="21" t="s">
        <v>1866</v>
      </c>
      <c r="E1407" s="18">
        <v>55500</v>
      </c>
      <c r="F1407" s="18">
        <v>55500</v>
      </c>
      <c r="G1407" s="125">
        <f t="shared" si="41"/>
        <v>0</v>
      </c>
      <c r="H1407" s="247"/>
    </row>
    <row r="1408" spans="1:8" ht="16.5">
      <c r="A1408" s="3">
        <f>IF(F1408="","",COUNTA($F$1249:F1408))</f>
        <v>157</v>
      </c>
      <c r="B1408" s="25" t="s">
        <v>1919</v>
      </c>
      <c r="C1408" s="21" t="s">
        <v>2792</v>
      </c>
      <c r="E1408" s="18">
        <v>23364</v>
      </c>
      <c r="F1408" s="18">
        <v>23364</v>
      </c>
      <c r="G1408" s="125">
        <f t="shared" si="41"/>
        <v>0</v>
      </c>
      <c r="H1408" s="247"/>
    </row>
    <row r="1409" spans="1:8" ht="16.5">
      <c r="A1409" s="3">
        <f>IF(F1409="","",COUNTA($F$1249:F1409))</f>
        <v>158</v>
      </c>
      <c r="B1409" s="25" t="s">
        <v>1920</v>
      </c>
      <c r="C1409" s="21" t="s">
        <v>2792</v>
      </c>
      <c r="E1409" s="18">
        <v>41727</v>
      </c>
      <c r="F1409" s="18">
        <v>41727</v>
      </c>
      <c r="G1409" s="125">
        <f t="shared" si="41"/>
        <v>0</v>
      </c>
      <c r="H1409" s="247"/>
    </row>
    <row r="1410" spans="1:8" ht="16.5">
      <c r="A1410" s="3">
        <f>IF(F1410="","",COUNTA($F$1249:F1410))</f>
        <v>159</v>
      </c>
      <c r="B1410" s="25" t="s">
        <v>1921</v>
      </c>
      <c r="C1410" s="21" t="s">
        <v>2792</v>
      </c>
      <c r="E1410" s="18">
        <v>54091</v>
      </c>
      <c r="F1410" s="18">
        <v>54091</v>
      </c>
      <c r="G1410" s="125">
        <f aca="true" t="shared" si="42" ref="G1410:G1473">(E1410-F1410)/E1410</f>
        <v>0</v>
      </c>
      <c r="H1410" s="247"/>
    </row>
    <row r="1411" spans="1:8" ht="16.5">
      <c r="A1411" s="3">
        <f>IF(F1411="","",COUNTA($F$1249:F1411))</f>
        <v>160</v>
      </c>
      <c r="B1411" s="25" t="s">
        <v>1922</v>
      </c>
      <c r="C1411" s="21" t="s">
        <v>2792</v>
      </c>
      <c r="E1411" s="18">
        <v>72545</v>
      </c>
      <c r="F1411" s="18">
        <v>72545</v>
      </c>
      <c r="G1411" s="125">
        <f t="shared" si="42"/>
        <v>0</v>
      </c>
      <c r="H1411" s="247"/>
    </row>
    <row r="1412" spans="1:8" ht="16.5">
      <c r="A1412" s="3">
        <f>IF(F1412="","",COUNTA($F$1249:F1412))</f>
        <v>161</v>
      </c>
      <c r="B1412" s="25" t="s">
        <v>1923</v>
      </c>
      <c r="C1412" s="21" t="s">
        <v>2792</v>
      </c>
      <c r="E1412" s="18">
        <v>106273</v>
      </c>
      <c r="F1412" s="18">
        <v>106273</v>
      </c>
      <c r="G1412" s="125">
        <f t="shared" si="42"/>
        <v>0</v>
      </c>
      <c r="H1412" s="247"/>
    </row>
    <row r="1413" spans="1:8" ht="16.5">
      <c r="A1413" s="3">
        <f>IF(F1413="","",COUNTA($F$1249:F1413))</f>
        <v>162</v>
      </c>
      <c r="B1413" s="25" t="s">
        <v>1924</v>
      </c>
      <c r="C1413" s="21" t="s">
        <v>2792</v>
      </c>
      <c r="E1413" s="18">
        <v>26000</v>
      </c>
      <c r="F1413" s="18">
        <v>26000</v>
      </c>
      <c r="G1413" s="125">
        <f t="shared" si="42"/>
        <v>0</v>
      </c>
      <c r="H1413" s="247"/>
    </row>
    <row r="1414" spans="1:8" ht="16.5">
      <c r="A1414" s="3">
        <f>IF(F1414="","",COUNTA($F$1249:F1414))</f>
        <v>163</v>
      </c>
      <c r="B1414" s="25" t="s">
        <v>1925</v>
      </c>
      <c r="C1414" s="21" t="s">
        <v>2792</v>
      </c>
      <c r="E1414" s="18">
        <v>48000</v>
      </c>
      <c r="F1414" s="18">
        <v>48000</v>
      </c>
      <c r="G1414" s="125">
        <f t="shared" si="42"/>
        <v>0</v>
      </c>
      <c r="H1414" s="247"/>
    </row>
    <row r="1415" spans="1:8" ht="16.5">
      <c r="A1415" s="3">
        <f>IF(F1415="","",COUNTA($F$1249:F1415))</f>
        <v>164</v>
      </c>
      <c r="B1415" s="25" t="s">
        <v>1926</v>
      </c>
      <c r="C1415" s="21" t="s">
        <v>2792</v>
      </c>
      <c r="E1415" s="18">
        <v>65000</v>
      </c>
      <c r="F1415" s="18">
        <v>65000</v>
      </c>
      <c r="G1415" s="125">
        <f t="shared" si="42"/>
        <v>0</v>
      </c>
      <c r="H1415" s="247"/>
    </row>
    <row r="1416" spans="1:8" ht="16.5">
      <c r="A1416" s="3">
        <f>IF(F1416="","",COUNTA($F$1249:F1416))</f>
        <v>165</v>
      </c>
      <c r="B1416" s="25" t="s">
        <v>1927</v>
      </c>
      <c r="C1416" s="21" t="s">
        <v>2792</v>
      </c>
      <c r="E1416" s="18">
        <v>88000</v>
      </c>
      <c r="F1416" s="18">
        <v>88000</v>
      </c>
      <c r="G1416" s="125">
        <f t="shared" si="42"/>
        <v>0</v>
      </c>
      <c r="H1416" s="247"/>
    </row>
    <row r="1417" spans="1:8" ht="16.5">
      <c r="A1417" s="3">
        <f>IF(F1417="","",COUNTA($F$1249:F1417))</f>
        <v>166</v>
      </c>
      <c r="B1417" s="25" t="s">
        <v>1928</v>
      </c>
      <c r="C1417" s="21" t="s">
        <v>2792</v>
      </c>
      <c r="E1417" s="18">
        <v>140000</v>
      </c>
      <c r="F1417" s="18">
        <v>140000</v>
      </c>
      <c r="G1417" s="125">
        <f t="shared" si="42"/>
        <v>0</v>
      </c>
      <c r="H1417" s="247"/>
    </row>
    <row r="1418" spans="1:8" ht="16.5">
      <c r="A1418" s="3">
        <f>IF(F1418="","",COUNTA($F$1249:F1418))</f>
        <v>167</v>
      </c>
      <c r="B1418" s="25" t="s">
        <v>1929</v>
      </c>
      <c r="C1418" s="21" t="s">
        <v>2792</v>
      </c>
      <c r="E1418" s="18">
        <v>28909</v>
      </c>
      <c r="F1418" s="18">
        <v>28909</v>
      </c>
      <c r="G1418" s="125">
        <f t="shared" si="42"/>
        <v>0</v>
      </c>
      <c r="H1418" s="247"/>
    </row>
    <row r="1419" spans="1:8" ht="16.5">
      <c r="A1419" s="3">
        <f>IF(F1419="","",COUNTA($F$1249:F1419))</f>
        <v>168</v>
      </c>
      <c r="B1419" s="25" t="s">
        <v>1930</v>
      </c>
      <c r="C1419" s="21" t="s">
        <v>2792</v>
      </c>
      <c r="E1419" s="18">
        <v>50727</v>
      </c>
      <c r="F1419" s="18">
        <v>50727</v>
      </c>
      <c r="G1419" s="125">
        <f t="shared" si="42"/>
        <v>0</v>
      </c>
      <c r="H1419" s="247"/>
    </row>
    <row r="1420" spans="1:8" ht="16.5">
      <c r="A1420" s="3">
        <f>IF(F1420="","",COUNTA($F$1249:F1420))</f>
        <v>169</v>
      </c>
      <c r="B1420" s="25" t="s">
        <v>1931</v>
      </c>
      <c r="C1420" s="21" t="s">
        <v>2792</v>
      </c>
      <c r="E1420" s="18">
        <v>74636</v>
      </c>
      <c r="F1420" s="18">
        <v>74636</v>
      </c>
      <c r="G1420" s="125">
        <f t="shared" si="42"/>
        <v>0</v>
      </c>
      <c r="H1420" s="247"/>
    </row>
    <row r="1421" spans="1:8" ht="16.5">
      <c r="A1421" s="3">
        <f>IF(F1421="","",COUNTA($F$1249:F1421))</f>
        <v>170</v>
      </c>
      <c r="B1421" s="25" t="s">
        <v>1932</v>
      </c>
      <c r="C1421" s="21" t="s">
        <v>2792</v>
      </c>
      <c r="E1421" s="18">
        <v>115545</v>
      </c>
      <c r="F1421" s="18">
        <v>115545</v>
      </c>
      <c r="G1421" s="125">
        <f t="shared" si="42"/>
        <v>0</v>
      </c>
      <c r="H1421" s="247"/>
    </row>
    <row r="1422" spans="1:8" ht="16.5">
      <c r="A1422" s="3">
        <f>IF(F1422="","",COUNTA($F$1249:F1422))</f>
        <v>171</v>
      </c>
      <c r="B1422" s="25" t="s">
        <v>1933</v>
      </c>
      <c r="C1422" s="21" t="s">
        <v>2792</v>
      </c>
      <c r="E1422" s="18">
        <v>179545</v>
      </c>
      <c r="F1422" s="18">
        <v>179545</v>
      </c>
      <c r="G1422" s="125">
        <f t="shared" si="42"/>
        <v>0</v>
      </c>
      <c r="H1422" s="247"/>
    </row>
    <row r="1423" spans="1:8" ht="16.5">
      <c r="A1423" s="3">
        <f>IF(F1423="","",COUNTA($F$1249:F1423))</f>
        <v>172</v>
      </c>
      <c r="B1423" s="25" t="s">
        <v>1934</v>
      </c>
      <c r="C1423" s="21" t="s">
        <v>1866</v>
      </c>
      <c r="E1423" s="18">
        <v>15000</v>
      </c>
      <c r="F1423" s="18">
        <v>15000</v>
      </c>
      <c r="G1423" s="125">
        <f t="shared" si="42"/>
        <v>0</v>
      </c>
      <c r="H1423" s="247"/>
    </row>
    <row r="1424" spans="1:8" ht="16.5">
      <c r="A1424" s="3">
        <f>IF(F1424="","",COUNTA($F$1249:F1424))</f>
        <v>173</v>
      </c>
      <c r="B1424" s="25" t="s">
        <v>1935</v>
      </c>
      <c r="C1424" s="21" t="s">
        <v>1866</v>
      </c>
      <c r="E1424" s="18">
        <v>28000</v>
      </c>
      <c r="F1424" s="18">
        <v>28000</v>
      </c>
      <c r="G1424" s="125">
        <f t="shared" si="42"/>
        <v>0</v>
      </c>
      <c r="H1424" s="247"/>
    </row>
    <row r="1425" spans="1:8" ht="16.5">
      <c r="A1425" s="3">
        <f>IF(F1425="","",COUNTA($F$1249:F1425))</f>
        <v>174</v>
      </c>
      <c r="B1425" s="25" t="s">
        <v>1936</v>
      </c>
      <c r="C1425" s="21" t="s">
        <v>1866</v>
      </c>
      <c r="E1425" s="18">
        <v>5818</v>
      </c>
      <c r="F1425" s="18">
        <v>5818</v>
      </c>
      <c r="G1425" s="125">
        <f t="shared" si="42"/>
        <v>0</v>
      </c>
      <c r="H1425" s="247"/>
    </row>
    <row r="1426" spans="1:8" ht="16.5">
      <c r="A1426" s="3">
        <f>IF(F1426="","",COUNTA($F$1249:F1426))</f>
        <v>175</v>
      </c>
      <c r="B1426" s="25" t="s">
        <v>1937</v>
      </c>
      <c r="C1426" s="21" t="s">
        <v>1866</v>
      </c>
      <c r="E1426" s="18">
        <v>7727</v>
      </c>
      <c r="F1426" s="18">
        <v>7727</v>
      </c>
      <c r="G1426" s="125">
        <f t="shared" si="42"/>
        <v>0</v>
      </c>
      <c r="H1426" s="247"/>
    </row>
    <row r="1427" spans="1:8" ht="16.5">
      <c r="A1427" s="3">
        <f>IF(F1427="","",COUNTA($F$1249:F1427))</f>
        <v>176</v>
      </c>
      <c r="B1427" s="25" t="s">
        <v>1938</v>
      </c>
      <c r="C1427" s="21" t="s">
        <v>1866</v>
      </c>
      <c r="E1427" s="18">
        <v>13545</v>
      </c>
      <c r="F1427" s="18">
        <v>13545</v>
      </c>
      <c r="G1427" s="125">
        <f t="shared" si="42"/>
        <v>0</v>
      </c>
      <c r="H1427" s="247"/>
    </row>
    <row r="1428" spans="1:8" ht="16.5">
      <c r="A1428" s="3">
        <f>IF(F1428="","",COUNTA($F$1249:F1428))</f>
        <v>177</v>
      </c>
      <c r="B1428" s="25" t="s">
        <v>1939</v>
      </c>
      <c r="C1428" s="21" t="s">
        <v>1866</v>
      </c>
      <c r="E1428" s="18">
        <v>22000</v>
      </c>
      <c r="F1428" s="18">
        <v>22000</v>
      </c>
      <c r="G1428" s="125">
        <f t="shared" si="42"/>
        <v>0</v>
      </c>
      <c r="H1428" s="247"/>
    </row>
    <row r="1429" spans="1:8" ht="16.5">
      <c r="A1429" s="3">
        <f>IF(F1429="","",COUNTA($F$1249:F1429))</f>
        <v>178</v>
      </c>
      <c r="B1429" s="25" t="s">
        <v>1940</v>
      </c>
      <c r="C1429" s="21" t="s">
        <v>1866</v>
      </c>
      <c r="E1429" s="18">
        <v>38636</v>
      </c>
      <c r="F1429" s="18">
        <v>38636</v>
      </c>
      <c r="G1429" s="125">
        <f t="shared" si="42"/>
        <v>0</v>
      </c>
      <c r="H1429" s="247"/>
    </row>
    <row r="1430" spans="1:8" ht="16.5">
      <c r="A1430" s="3">
        <f>IF(F1430="","",COUNTA($F$1249:F1430))</f>
        <v>179</v>
      </c>
      <c r="B1430" s="25" t="s">
        <v>1941</v>
      </c>
      <c r="C1430" s="21" t="s">
        <v>1866</v>
      </c>
      <c r="E1430" s="18">
        <v>12818</v>
      </c>
      <c r="F1430" s="18">
        <v>12818</v>
      </c>
      <c r="G1430" s="125">
        <f t="shared" si="42"/>
        <v>0</v>
      </c>
      <c r="H1430" s="247"/>
    </row>
    <row r="1431" spans="1:8" ht="16.5">
      <c r="A1431" s="3">
        <f>IF(F1431="","",COUNTA($F$1249:F1431))</f>
        <v>180</v>
      </c>
      <c r="B1431" s="25" t="s">
        <v>1942</v>
      </c>
      <c r="C1431" s="21" t="s">
        <v>1866</v>
      </c>
      <c r="E1431" s="18">
        <v>23000</v>
      </c>
      <c r="F1431" s="18">
        <v>23000</v>
      </c>
      <c r="G1431" s="125">
        <f t="shared" si="42"/>
        <v>0</v>
      </c>
      <c r="H1431" s="247"/>
    </row>
    <row r="1432" spans="1:8" ht="33">
      <c r="A1432" s="3">
        <f>IF(F1432="","",COUNTA($F$1249:F1432))</f>
      </c>
      <c r="B1432" s="37" t="s">
        <v>104</v>
      </c>
      <c r="C1432" s="57"/>
      <c r="E1432" s="13"/>
      <c r="F1432" s="13"/>
      <c r="G1432" s="125"/>
      <c r="H1432" s="247" t="s">
        <v>1213</v>
      </c>
    </row>
    <row r="1433" spans="1:8" ht="16.5">
      <c r="A1433" s="3">
        <f>IF(F1433="","",COUNTA($F$1249:F1433))</f>
        <v>181</v>
      </c>
      <c r="B1433" s="25" t="s">
        <v>1943</v>
      </c>
      <c r="C1433" s="57" t="s">
        <v>1944</v>
      </c>
      <c r="D1433" s="247" t="s">
        <v>105</v>
      </c>
      <c r="E1433" s="13">
        <v>4460000</v>
      </c>
      <c r="F1433" s="13">
        <v>4460000</v>
      </c>
      <c r="G1433" s="125">
        <f t="shared" si="42"/>
        <v>0</v>
      </c>
      <c r="H1433" s="247"/>
    </row>
    <row r="1434" spans="1:8" ht="16.5">
      <c r="A1434" s="3">
        <f>IF(F1434="","",COUNTA($F$1249:F1434))</f>
        <v>182</v>
      </c>
      <c r="B1434" s="25" t="s">
        <v>1945</v>
      </c>
      <c r="C1434" s="57" t="s">
        <v>1944</v>
      </c>
      <c r="D1434" s="247"/>
      <c r="E1434" s="13">
        <v>4650000</v>
      </c>
      <c r="F1434" s="13">
        <v>4650000</v>
      </c>
      <c r="G1434" s="125">
        <f t="shared" si="42"/>
        <v>0</v>
      </c>
      <c r="H1434" s="247"/>
    </row>
    <row r="1435" spans="1:8" ht="16.5">
      <c r="A1435" s="3">
        <f>IF(F1435="","",COUNTA($F$1249:F1435))</f>
        <v>183</v>
      </c>
      <c r="B1435" s="25" t="s">
        <v>1946</v>
      </c>
      <c r="C1435" s="57" t="s">
        <v>1944</v>
      </c>
      <c r="D1435" s="247"/>
      <c r="E1435" s="13">
        <v>4887000</v>
      </c>
      <c r="F1435" s="13">
        <v>4887000</v>
      </c>
      <c r="G1435" s="125">
        <f t="shared" si="42"/>
        <v>0</v>
      </c>
      <c r="H1435" s="247"/>
    </row>
    <row r="1436" spans="1:8" ht="16.5">
      <c r="A1436" s="3">
        <f>IF(F1436="","",COUNTA($F$1249:F1436))</f>
        <v>184</v>
      </c>
      <c r="B1436" s="25" t="s">
        <v>1947</v>
      </c>
      <c r="C1436" s="57" t="s">
        <v>1944</v>
      </c>
      <c r="D1436" s="247"/>
      <c r="E1436" s="13">
        <v>6125000</v>
      </c>
      <c r="F1436" s="13">
        <v>6125000</v>
      </c>
      <c r="G1436" s="125">
        <f t="shared" si="42"/>
        <v>0</v>
      </c>
      <c r="H1436" s="247"/>
    </row>
    <row r="1437" spans="1:8" ht="16.5">
      <c r="A1437" s="3">
        <f>IF(F1437="","",COUNTA($F$1249:F1437))</f>
        <v>185</v>
      </c>
      <c r="B1437" s="25" t="s">
        <v>1948</v>
      </c>
      <c r="C1437" s="57" t="s">
        <v>1944</v>
      </c>
      <c r="D1437" s="247"/>
      <c r="E1437" s="13">
        <v>9347000</v>
      </c>
      <c r="F1437" s="13">
        <v>9347000</v>
      </c>
      <c r="G1437" s="125">
        <f t="shared" si="42"/>
        <v>0</v>
      </c>
      <c r="H1437" s="247"/>
    </row>
    <row r="1438" spans="1:8" ht="16.5">
      <c r="A1438" s="3">
        <f>IF(F1438="","",COUNTA($F$1249:F1438))</f>
        <v>186</v>
      </c>
      <c r="B1438" s="25" t="s">
        <v>1949</v>
      </c>
      <c r="C1438" s="57" t="s">
        <v>1944</v>
      </c>
      <c r="D1438" s="247"/>
      <c r="E1438" s="13">
        <v>9610000</v>
      </c>
      <c r="F1438" s="13">
        <v>9610000</v>
      </c>
      <c r="G1438" s="125">
        <f t="shared" si="42"/>
        <v>0</v>
      </c>
      <c r="H1438" s="247"/>
    </row>
    <row r="1439" spans="1:8" ht="33">
      <c r="A1439" s="3">
        <f>IF(F1439="","",COUNTA($F$1249:F1439))</f>
      </c>
      <c r="B1439" s="37" t="s">
        <v>106</v>
      </c>
      <c r="C1439" s="57"/>
      <c r="E1439" s="13"/>
      <c r="F1439" s="13"/>
      <c r="G1439" s="125"/>
      <c r="H1439" s="247"/>
    </row>
    <row r="1440" spans="1:8" ht="16.5">
      <c r="A1440" s="3">
        <f>IF(F1440="","",COUNTA($F$1249:F1440))</f>
        <v>187</v>
      </c>
      <c r="B1440" s="25" t="s">
        <v>1943</v>
      </c>
      <c r="C1440" s="57" t="s">
        <v>1944</v>
      </c>
      <c r="D1440" s="247" t="s">
        <v>105</v>
      </c>
      <c r="E1440" s="13">
        <v>5077000</v>
      </c>
      <c r="F1440" s="13">
        <v>5077000</v>
      </c>
      <c r="G1440" s="125">
        <f t="shared" si="42"/>
        <v>0</v>
      </c>
      <c r="H1440" s="247"/>
    </row>
    <row r="1441" spans="1:8" ht="16.5">
      <c r="A1441" s="3">
        <f>IF(F1441="","",COUNTA($F$1249:F1441))</f>
        <v>188</v>
      </c>
      <c r="B1441" s="25" t="s">
        <v>1945</v>
      </c>
      <c r="C1441" s="57" t="s">
        <v>1944</v>
      </c>
      <c r="D1441" s="247"/>
      <c r="E1441" s="13">
        <v>5171000</v>
      </c>
      <c r="F1441" s="13">
        <v>5171000</v>
      </c>
      <c r="G1441" s="125">
        <f t="shared" si="42"/>
        <v>0</v>
      </c>
      <c r="H1441" s="247"/>
    </row>
    <row r="1442" spans="1:8" ht="16.5">
      <c r="A1442" s="3">
        <f>IF(F1442="","",COUNTA($F$1249:F1442))</f>
        <v>189</v>
      </c>
      <c r="B1442" s="25" t="s">
        <v>1946</v>
      </c>
      <c r="C1442" s="57" t="s">
        <v>1944</v>
      </c>
      <c r="D1442" s="247"/>
      <c r="E1442" s="13">
        <v>5599000</v>
      </c>
      <c r="F1442" s="13">
        <v>5599000</v>
      </c>
      <c r="G1442" s="125">
        <f t="shared" si="42"/>
        <v>0</v>
      </c>
      <c r="H1442" s="247"/>
    </row>
    <row r="1443" spans="1:8" ht="16.5">
      <c r="A1443" s="3">
        <f>IF(F1443="","",COUNTA($F$1249:F1443))</f>
        <v>190</v>
      </c>
      <c r="B1443" s="25" t="s">
        <v>1947</v>
      </c>
      <c r="C1443" s="57" t="s">
        <v>1944</v>
      </c>
      <c r="D1443" s="247"/>
      <c r="E1443" s="13">
        <v>6690000</v>
      </c>
      <c r="F1443" s="13">
        <v>6690000</v>
      </c>
      <c r="G1443" s="125">
        <f t="shared" si="42"/>
        <v>0</v>
      </c>
      <c r="H1443" s="247"/>
    </row>
    <row r="1444" spans="1:8" ht="16.5">
      <c r="A1444" s="3">
        <f>IF(F1444="","",COUNTA($F$1249:F1444))</f>
        <v>191</v>
      </c>
      <c r="B1444" s="25" t="s">
        <v>1948</v>
      </c>
      <c r="C1444" s="57" t="s">
        <v>1944</v>
      </c>
      <c r="D1444" s="247"/>
      <c r="E1444" s="13">
        <v>10153000</v>
      </c>
      <c r="F1444" s="13">
        <v>10153000</v>
      </c>
      <c r="G1444" s="125">
        <f t="shared" si="42"/>
        <v>0</v>
      </c>
      <c r="H1444" s="247"/>
    </row>
    <row r="1445" spans="1:8" ht="16.5">
      <c r="A1445" s="3">
        <f>IF(F1445="","",COUNTA($F$1249:F1445))</f>
        <v>192</v>
      </c>
      <c r="B1445" s="25" t="s">
        <v>1949</v>
      </c>
      <c r="C1445" s="57" t="s">
        <v>1944</v>
      </c>
      <c r="D1445" s="247"/>
      <c r="E1445" s="13">
        <v>10628000</v>
      </c>
      <c r="F1445" s="13">
        <v>10628000</v>
      </c>
      <c r="G1445" s="125">
        <f t="shared" si="42"/>
        <v>0</v>
      </c>
      <c r="H1445" s="247"/>
    </row>
    <row r="1446" spans="1:8" ht="33">
      <c r="A1446" s="3">
        <f>IF(F1446="","",COUNTA($F$1249:F1446))</f>
      </c>
      <c r="B1446" s="37" t="s">
        <v>107</v>
      </c>
      <c r="C1446" s="57"/>
      <c r="E1446" s="13"/>
      <c r="F1446" s="13"/>
      <c r="G1446" s="125"/>
      <c r="H1446" s="247"/>
    </row>
    <row r="1447" spans="1:8" ht="16.5">
      <c r="A1447" s="3">
        <f>IF(F1447="","",COUNTA($F$1249:F1447))</f>
        <v>193</v>
      </c>
      <c r="B1447" s="25" t="s">
        <v>1943</v>
      </c>
      <c r="C1447" s="57" t="s">
        <v>1944</v>
      </c>
      <c r="D1447" s="247" t="s">
        <v>108</v>
      </c>
      <c r="E1447" s="13">
        <v>3510000</v>
      </c>
      <c r="F1447" s="13">
        <v>3510000</v>
      </c>
      <c r="G1447" s="125">
        <f t="shared" si="42"/>
        <v>0</v>
      </c>
      <c r="H1447" s="247"/>
    </row>
    <row r="1448" spans="1:8" ht="16.5">
      <c r="A1448" s="3">
        <f>IF(F1448="","",COUNTA($F$1249:F1448))</f>
        <v>194</v>
      </c>
      <c r="B1448" s="25" t="s">
        <v>1945</v>
      </c>
      <c r="C1448" s="57" t="s">
        <v>1950</v>
      </c>
      <c r="D1448" s="247"/>
      <c r="E1448" s="13">
        <v>4056000</v>
      </c>
      <c r="F1448" s="13">
        <v>4056000</v>
      </c>
      <c r="G1448" s="125">
        <f t="shared" si="42"/>
        <v>0</v>
      </c>
      <c r="H1448" s="247"/>
    </row>
    <row r="1449" spans="1:8" ht="16.5">
      <c r="A1449" s="3">
        <f>IF(F1449="","",COUNTA($F$1249:F1449))</f>
        <v>195</v>
      </c>
      <c r="B1449" s="25" t="s">
        <v>1946</v>
      </c>
      <c r="C1449" s="57" t="s">
        <v>1950</v>
      </c>
      <c r="D1449" s="247"/>
      <c r="E1449" s="13">
        <v>4697000</v>
      </c>
      <c r="F1449" s="13">
        <v>4697000</v>
      </c>
      <c r="G1449" s="125">
        <f t="shared" si="42"/>
        <v>0</v>
      </c>
      <c r="H1449" s="247"/>
    </row>
    <row r="1450" spans="1:8" ht="16.5">
      <c r="A1450" s="3">
        <f>IF(F1450="","",COUNTA($F$1249:F1450))</f>
        <v>196</v>
      </c>
      <c r="B1450" s="25" t="s">
        <v>1947</v>
      </c>
      <c r="C1450" s="57" t="s">
        <v>1950</v>
      </c>
      <c r="D1450" s="247"/>
      <c r="E1450" s="13">
        <v>5931000</v>
      </c>
      <c r="F1450" s="13">
        <v>5931000</v>
      </c>
      <c r="G1450" s="125">
        <f t="shared" si="42"/>
        <v>0</v>
      </c>
      <c r="H1450" s="247"/>
    </row>
    <row r="1451" spans="1:8" ht="16.5">
      <c r="A1451" s="3">
        <f>IF(F1451="","",COUNTA($F$1249:F1451))</f>
        <v>197</v>
      </c>
      <c r="B1451" s="25" t="s">
        <v>1948</v>
      </c>
      <c r="C1451" s="57" t="s">
        <v>1950</v>
      </c>
      <c r="D1451" s="247"/>
      <c r="E1451" s="13">
        <v>9632000</v>
      </c>
      <c r="F1451" s="13">
        <v>9632000</v>
      </c>
      <c r="G1451" s="125">
        <f t="shared" si="42"/>
        <v>0</v>
      </c>
      <c r="H1451" s="247"/>
    </row>
    <row r="1452" spans="1:8" ht="16.5">
      <c r="A1452" s="3">
        <f>IF(F1452="","",COUNTA($F$1249:F1452))</f>
        <v>198</v>
      </c>
      <c r="B1452" s="25" t="s">
        <v>1949</v>
      </c>
      <c r="C1452" s="57" t="s">
        <v>1950</v>
      </c>
      <c r="D1452" s="247"/>
      <c r="E1452" s="13">
        <v>10865000</v>
      </c>
      <c r="F1452" s="13">
        <v>10865000</v>
      </c>
      <c r="G1452" s="125">
        <f t="shared" si="42"/>
        <v>0</v>
      </c>
      <c r="H1452" s="247"/>
    </row>
    <row r="1453" spans="1:8" ht="33">
      <c r="A1453" s="3">
        <f>IF(F1453="","",COUNTA($F$1249:F1453))</f>
      </c>
      <c r="B1453" s="37" t="s">
        <v>109</v>
      </c>
      <c r="C1453" s="57"/>
      <c r="E1453" s="13"/>
      <c r="F1453" s="13"/>
      <c r="G1453" s="125"/>
      <c r="H1453" s="247"/>
    </row>
    <row r="1454" spans="1:8" ht="16.5">
      <c r="A1454" s="3">
        <f>IF(F1454="","",COUNTA($F$1249:F1454))</f>
        <v>199</v>
      </c>
      <c r="B1454" s="25" t="s">
        <v>1951</v>
      </c>
      <c r="C1454" s="57" t="s">
        <v>1950</v>
      </c>
      <c r="D1454" s="247" t="s">
        <v>110</v>
      </c>
      <c r="E1454" s="13">
        <v>4550000</v>
      </c>
      <c r="F1454" s="13">
        <v>4550000</v>
      </c>
      <c r="G1454" s="125">
        <f t="shared" si="42"/>
        <v>0</v>
      </c>
      <c r="H1454" s="247"/>
    </row>
    <row r="1455" spans="1:8" ht="16.5">
      <c r="A1455" s="3">
        <f>IF(F1455="","",COUNTA($F$1249:F1455))</f>
        <v>200</v>
      </c>
      <c r="B1455" s="25" t="s">
        <v>1943</v>
      </c>
      <c r="C1455" s="57" t="s">
        <v>1950</v>
      </c>
      <c r="D1455" s="247"/>
      <c r="E1455" s="13">
        <v>6929000</v>
      </c>
      <c r="F1455" s="13">
        <v>6929000</v>
      </c>
      <c r="G1455" s="125">
        <f t="shared" si="42"/>
        <v>0</v>
      </c>
      <c r="H1455" s="247"/>
    </row>
    <row r="1456" spans="1:8" ht="33">
      <c r="A1456" s="3">
        <f>IF(F1456="","",COUNTA($F$1249:F1456))</f>
      </c>
      <c r="B1456" s="37" t="s">
        <v>111</v>
      </c>
      <c r="C1456" s="57"/>
      <c r="E1456" s="13"/>
      <c r="F1456" s="13"/>
      <c r="G1456" s="125" t="e">
        <f t="shared" si="42"/>
        <v>#DIV/0!</v>
      </c>
      <c r="H1456" s="247"/>
    </row>
    <row r="1457" spans="1:8" ht="16.5">
      <c r="A1457" s="3">
        <f>IF(F1457="","",COUNTA($F$1249:F1457))</f>
        <v>201</v>
      </c>
      <c r="B1457" s="25" t="s">
        <v>1943</v>
      </c>
      <c r="C1457" s="57" t="s">
        <v>1944</v>
      </c>
      <c r="D1457" s="247" t="s">
        <v>112</v>
      </c>
      <c r="E1457" s="13">
        <v>3037000</v>
      </c>
      <c r="F1457" s="13">
        <v>3037000</v>
      </c>
      <c r="G1457" s="125">
        <f t="shared" si="42"/>
        <v>0</v>
      </c>
      <c r="H1457" s="247"/>
    </row>
    <row r="1458" spans="1:8" ht="16.5">
      <c r="A1458" s="3">
        <f>IF(F1458="","",COUNTA($F$1249:F1458))</f>
        <v>202</v>
      </c>
      <c r="B1458" s="25" t="s">
        <v>1945</v>
      </c>
      <c r="C1458" s="57" t="s">
        <v>1944</v>
      </c>
      <c r="D1458" s="247"/>
      <c r="E1458" s="13">
        <v>3606000</v>
      </c>
      <c r="F1458" s="13">
        <v>3606000</v>
      </c>
      <c r="G1458" s="125">
        <f t="shared" si="42"/>
        <v>0</v>
      </c>
      <c r="H1458" s="247"/>
    </row>
    <row r="1459" spans="1:8" ht="16.5">
      <c r="A1459" s="3">
        <f>IF(F1459="","",COUNTA($F$1249:F1459))</f>
        <v>203</v>
      </c>
      <c r="B1459" s="25" t="s">
        <v>1946</v>
      </c>
      <c r="C1459" s="57" t="s">
        <v>1944</v>
      </c>
      <c r="D1459" s="247"/>
      <c r="E1459" s="13">
        <v>3986000</v>
      </c>
      <c r="F1459" s="13">
        <v>3986000</v>
      </c>
      <c r="G1459" s="125">
        <f t="shared" si="42"/>
        <v>0</v>
      </c>
      <c r="H1459" s="247"/>
    </row>
    <row r="1460" spans="1:8" ht="16.5">
      <c r="A1460" s="3">
        <f>IF(F1460="","",COUNTA($F$1249:F1460))</f>
        <v>204</v>
      </c>
      <c r="B1460" s="25" t="s">
        <v>1947</v>
      </c>
      <c r="C1460" s="57" t="s">
        <v>1944</v>
      </c>
      <c r="D1460" s="247"/>
      <c r="E1460" s="13">
        <v>4697000</v>
      </c>
      <c r="F1460" s="13">
        <v>4697000</v>
      </c>
      <c r="G1460" s="125">
        <f t="shared" si="42"/>
        <v>0</v>
      </c>
      <c r="H1460" s="247"/>
    </row>
    <row r="1461" spans="1:8" ht="16.5">
      <c r="A1461" s="3">
        <f>IF(F1461="","",COUNTA($F$1249:F1461))</f>
        <v>205</v>
      </c>
      <c r="B1461" s="25" t="s">
        <v>1948</v>
      </c>
      <c r="C1461" s="57" t="s">
        <v>1944</v>
      </c>
      <c r="D1461" s="247"/>
      <c r="E1461" s="13">
        <v>6737000</v>
      </c>
      <c r="F1461" s="13">
        <v>6737000</v>
      </c>
      <c r="G1461" s="125">
        <f t="shared" si="42"/>
        <v>0</v>
      </c>
      <c r="H1461" s="247"/>
    </row>
    <row r="1462" spans="1:8" ht="16.5">
      <c r="A1462" s="3">
        <f>IF(F1462="","",COUNTA($F$1249:F1462))</f>
        <v>206</v>
      </c>
      <c r="B1462" s="25" t="s">
        <v>1949</v>
      </c>
      <c r="C1462" s="57" t="s">
        <v>1944</v>
      </c>
      <c r="D1462" s="247"/>
      <c r="E1462" s="13">
        <v>8160000</v>
      </c>
      <c r="F1462" s="13">
        <v>8160000</v>
      </c>
      <c r="G1462" s="125">
        <f t="shared" si="42"/>
        <v>0</v>
      </c>
      <c r="H1462" s="247"/>
    </row>
    <row r="1463" spans="1:8" ht="33">
      <c r="A1463" s="3">
        <f>IF(F1463="","",COUNTA($F$1249:F1463))</f>
      </c>
      <c r="B1463" s="37" t="s">
        <v>113</v>
      </c>
      <c r="C1463" s="57"/>
      <c r="E1463" s="13"/>
      <c r="F1463" s="13"/>
      <c r="G1463" s="125" t="e">
        <f t="shared" si="42"/>
        <v>#DIV/0!</v>
      </c>
      <c r="H1463" s="247"/>
    </row>
    <row r="1464" spans="1:8" ht="16.5">
      <c r="A1464" s="3">
        <f>IF(F1464="","",COUNTA($F$1249:F1464))</f>
        <v>207</v>
      </c>
      <c r="B1464" s="25" t="s">
        <v>1946</v>
      </c>
      <c r="C1464" s="57" t="s">
        <v>1944</v>
      </c>
      <c r="D1464" s="247" t="s">
        <v>114</v>
      </c>
      <c r="E1464" s="13">
        <v>5551000</v>
      </c>
      <c r="F1464" s="13">
        <v>5551000</v>
      </c>
      <c r="G1464" s="125">
        <f t="shared" si="42"/>
        <v>0</v>
      </c>
      <c r="H1464" s="247"/>
    </row>
    <row r="1465" spans="1:8" ht="16.5">
      <c r="A1465" s="3">
        <f>IF(F1465="","",COUNTA($F$1249:F1465))</f>
        <v>208</v>
      </c>
      <c r="B1465" s="25" t="s">
        <v>1947</v>
      </c>
      <c r="C1465" s="57" t="s">
        <v>1944</v>
      </c>
      <c r="D1465" s="247"/>
      <c r="E1465" s="13">
        <v>6215000</v>
      </c>
      <c r="F1465" s="13">
        <v>6215000</v>
      </c>
      <c r="G1465" s="125">
        <f t="shared" si="42"/>
        <v>0</v>
      </c>
      <c r="H1465" s="247"/>
    </row>
    <row r="1466" spans="1:8" ht="16.5">
      <c r="A1466" s="3">
        <f>IF(F1466="","",COUNTA($F$1249:F1466))</f>
        <v>209</v>
      </c>
      <c r="B1466" s="25" t="s">
        <v>1948</v>
      </c>
      <c r="C1466" s="57" t="s">
        <v>1944</v>
      </c>
      <c r="D1466" s="247"/>
      <c r="E1466" s="13">
        <v>7211000</v>
      </c>
      <c r="F1466" s="13">
        <v>7211000</v>
      </c>
      <c r="G1466" s="125">
        <f t="shared" si="42"/>
        <v>0</v>
      </c>
      <c r="H1466" s="247"/>
    </row>
    <row r="1467" spans="1:8" ht="16.5">
      <c r="A1467" s="3">
        <f>IF(F1467="","",COUNTA($F$1249:F1467))</f>
        <v>210</v>
      </c>
      <c r="B1467" s="25" t="s">
        <v>1949</v>
      </c>
      <c r="C1467" s="57" t="s">
        <v>1944</v>
      </c>
      <c r="D1467" s="247"/>
      <c r="E1467" s="13">
        <v>9773000</v>
      </c>
      <c r="F1467" s="13">
        <v>9773000</v>
      </c>
      <c r="G1467" s="125">
        <f t="shared" si="42"/>
        <v>0</v>
      </c>
      <c r="H1467" s="247"/>
    </row>
    <row r="1468" spans="1:8" ht="33">
      <c r="A1468" s="3">
        <f>IF(F1468="","",COUNTA($F$1249:F1468))</f>
      </c>
      <c r="B1468" s="37" t="s">
        <v>115</v>
      </c>
      <c r="C1468" s="57"/>
      <c r="E1468" s="13"/>
      <c r="F1468" s="13"/>
      <c r="G1468" s="125" t="e">
        <f t="shared" si="42"/>
        <v>#DIV/0!</v>
      </c>
      <c r="H1468" s="247"/>
    </row>
    <row r="1469" spans="1:8" ht="16.5">
      <c r="A1469" s="3">
        <f>IF(F1469="","",COUNTA($F$1249:F1469))</f>
        <v>211</v>
      </c>
      <c r="B1469" s="25" t="s">
        <v>1952</v>
      </c>
      <c r="C1469" s="57" t="s">
        <v>1944</v>
      </c>
      <c r="D1469" s="247" t="s">
        <v>116</v>
      </c>
      <c r="E1469" s="13">
        <v>120000</v>
      </c>
      <c r="F1469" s="13">
        <v>120000</v>
      </c>
      <c r="G1469" s="125">
        <f t="shared" si="42"/>
        <v>0</v>
      </c>
      <c r="H1469" s="247"/>
    </row>
    <row r="1470" spans="1:8" ht="16.5">
      <c r="A1470" s="3">
        <f>IF(F1470="","",COUNTA($F$1249:F1470))</f>
        <v>212</v>
      </c>
      <c r="B1470" s="25" t="s">
        <v>1953</v>
      </c>
      <c r="C1470" s="57" t="s">
        <v>1944</v>
      </c>
      <c r="D1470" s="247"/>
      <c r="E1470" s="13">
        <v>189000</v>
      </c>
      <c r="F1470" s="13">
        <v>189000</v>
      </c>
      <c r="G1470" s="125">
        <f t="shared" si="42"/>
        <v>0</v>
      </c>
      <c r="H1470" s="247"/>
    </row>
    <row r="1471" spans="1:8" ht="16.5">
      <c r="A1471" s="3">
        <f>IF(F1471="","",COUNTA($F$1249:F1471))</f>
        <v>213</v>
      </c>
      <c r="B1471" s="25" t="s">
        <v>1954</v>
      </c>
      <c r="C1471" s="57" t="s">
        <v>1944</v>
      </c>
      <c r="D1471" s="247"/>
      <c r="E1471" s="13">
        <v>285000</v>
      </c>
      <c r="F1471" s="13">
        <v>285000</v>
      </c>
      <c r="G1471" s="125">
        <f t="shared" si="42"/>
        <v>0</v>
      </c>
      <c r="H1471" s="247"/>
    </row>
    <row r="1472" spans="1:8" ht="16.5">
      <c r="A1472" s="3">
        <f>IF(F1472="","",COUNTA($F$1249:F1472))</f>
        <v>214</v>
      </c>
      <c r="B1472" s="25" t="s">
        <v>1955</v>
      </c>
      <c r="C1472" s="57" t="s">
        <v>1944</v>
      </c>
      <c r="D1472" s="247"/>
      <c r="E1472" s="13">
        <v>420000</v>
      </c>
      <c r="F1472" s="13">
        <v>420000</v>
      </c>
      <c r="G1472" s="125">
        <f t="shared" si="42"/>
        <v>0</v>
      </c>
      <c r="H1472" s="247"/>
    </row>
    <row r="1473" spans="1:8" ht="16.5">
      <c r="A1473" s="3">
        <f>IF(F1473="","",COUNTA($F$1249:F1473))</f>
        <v>215</v>
      </c>
      <c r="B1473" s="25" t="s">
        <v>1956</v>
      </c>
      <c r="C1473" s="57" t="s">
        <v>1944</v>
      </c>
      <c r="D1473" s="247"/>
      <c r="E1473" s="13">
        <v>554000</v>
      </c>
      <c r="F1473" s="13">
        <v>554000</v>
      </c>
      <c r="G1473" s="125">
        <f t="shared" si="42"/>
        <v>0</v>
      </c>
      <c r="H1473" s="247"/>
    </row>
    <row r="1474" spans="1:8" ht="16.5">
      <c r="A1474" s="3">
        <f>IF(F1474="","",COUNTA($F$1249:F1474))</f>
        <v>216</v>
      </c>
      <c r="B1474" s="25" t="s">
        <v>1957</v>
      </c>
      <c r="C1474" s="57" t="s">
        <v>1944</v>
      </c>
      <c r="D1474" s="247"/>
      <c r="E1474" s="13">
        <v>740000</v>
      </c>
      <c r="F1474" s="13">
        <v>740000</v>
      </c>
      <c r="G1474" s="125">
        <f aca="true" t="shared" si="43" ref="G1474:G1537">(E1474-F1474)/E1474</f>
        <v>0</v>
      </c>
      <c r="H1474" s="247"/>
    </row>
    <row r="1475" spans="1:8" ht="16.5">
      <c r="A1475" s="3">
        <f>IF(F1475="","",COUNTA($F$1249:F1475))</f>
        <v>217</v>
      </c>
      <c r="B1475" s="25" t="s">
        <v>1958</v>
      </c>
      <c r="C1475" s="57" t="s">
        <v>1944</v>
      </c>
      <c r="D1475" s="247"/>
      <c r="E1475" s="13">
        <v>1814000</v>
      </c>
      <c r="F1475" s="13">
        <v>1814000</v>
      </c>
      <c r="G1475" s="125">
        <f t="shared" si="43"/>
        <v>0</v>
      </c>
      <c r="H1475" s="247"/>
    </row>
    <row r="1476" spans="1:8" ht="16.5">
      <c r="A1476" s="3">
        <f>IF(F1476="","",COUNTA($F$1249:F1476))</f>
        <v>218</v>
      </c>
      <c r="B1476" s="25" t="s">
        <v>1959</v>
      </c>
      <c r="C1476" s="57" t="s">
        <v>1944</v>
      </c>
      <c r="D1476" s="247"/>
      <c r="E1476" s="13">
        <v>2155000</v>
      </c>
      <c r="F1476" s="13">
        <v>2155000</v>
      </c>
      <c r="G1476" s="125">
        <f t="shared" si="43"/>
        <v>0</v>
      </c>
      <c r="H1476" s="247"/>
    </row>
    <row r="1477" spans="1:8" ht="16.5">
      <c r="A1477" s="3">
        <f>IF(F1477="","",COUNTA($F$1249:F1477))</f>
        <v>219</v>
      </c>
      <c r="B1477" s="25" t="s">
        <v>1960</v>
      </c>
      <c r="C1477" s="57" t="s">
        <v>1944</v>
      </c>
      <c r="D1477" s="247"/>
      <c r="E1477" s="13">
        <v>4147000</v>
      </c>
      <c r="F1477" s="13">
        <v>4147000</v>
      </c>
      <c r="G1477" s="125">
        <f t="shared" si="43"/>
        <v>0</v>
      </c>
      <c r="H1477" s="247"/>
    </row>
    <row r="1478" spans="1:8" ht="33">
      <c r="A1478" s="3">
        <f>IF(F1478="","",COUNTA($F$1249:F1478))</f>
      </c>
      <c r="B1478" s="37" t="s">
        <v>117</v>
      </c>
      <c r="C1478" s="57"/>
      <c r="E1478" s="13"/>
      <c r="F1478" s="13"/>
      <c r="G1478" s="125" t="e">
        <f t="shared" si="43"/>
        <v>#DIV/0!</v>
      </c>
      <c r="H1478" s="247"/>
    </row>
    <row r="1479" spans="1:8" ht="16.5">
      <c r="A1479" s="3">
        <f>IF(F1479="","",COUNTA($F$1249:F1479))</f>
        <v>220</v>
      </c>
      <c r="B1479" s="25" t="s">
        <v>1961</v>
      </c>
      <c r="C1479" s="57" t="s">
        <v>1944</v>
      </c>
      <c r="D1479" s="247" t="s">
        <v>118</v>
      </c>
      <c r="E1479" s="13">
        <v>144000</v>
      </c>
      <c r="F1479" s="13">
        <v>144000</v>
      </c>
      <c r="G1479" s="125">
        <f t="shared" si="43"/>
        <v>0</v>
      </c>
      <c r="H1479" s="247"/>
    </row>
    <row r="1480" spans="1:8" ht="16.5">
      <c r="A1480" s="3">
        <f>IF(F1480="","",COUNTA($F$1249:F1480))</f>
        <v>221</v>
      </c>
      <c r="B1480" s="25" t="s">
        <v>1954</v>
      </c>
      <c r="C1480" s="57" t="s">
        <v>1944</v>
      </c>
      <c r="D1480" s="247"/>
      <c r="E1480" s="13">
        <v>224000</v>
      </c>
      <c r="F1480" s="13">
        <v>224000</v>
      </c>
      <c r="G1480" s="125">
        <f t="shared" si="43"/>
        <v>0</v>
      </c>
      <c r="H1480" s="247"/>
    </row>
    <row r="1481" spans="1:8" ht="16.5">
      <c r="A1481" s="3">
        <f>IF(F1481="","",COUNTA($F$1249:F1481))</f>
        <v>222</v>
      </c>
      <c r="B1481" s="25" t="s">
        <v>1955</v>
      </c>
      <c r="C1481" s="57" t="s">
        <v>1944</v>
      </c>
      <c r="D1481" s="247"/>
      <c r="E1481" s="13">
        <v>367000</v>
      </c>
      <c r="F1481" s="13">
        <v>367000</v>
      </c>
      <c r="G1481" s="125">
        <f t="shared" si="43"/>
        <v>0</v>
      </c>
      <c r="H1481" s="247"/>
    </row>
    <row r="1482" spans="1:8" ht="16.5">
      <c r="A1482" s="3">
        <f>IF(F1482="","",COUNTA($F$1249:F1482))</f>
        <v>223</v>
      </c>
      <c r="B1482" s="25" t="s">
        <v>1956</v>
      </c>
      <c r="C1482" s="57" t="s">
        <v>1944</v>
      </c>
      <c r="D1482" s="247"/>
      <c r="E1482" s="13">
        <v>454000</v>
      </c>
      <c r="F1482" s="13">
        <v>454000</v>
      </c>
      <c r="G1482" s="125">
        <f t="shared" si="43"/>
        <v>0</v>
      </c>
      <c r="H1482" s="247"/>
    </row>
    <row r="1483" spans="1:8" ht="16.5">
      <c r="A1483" s="3">
        <f>IF(F1483="","",COUNTA($F$1249:F1483))</f>
        <v>224</v>
      </c>
      <c r="B1483" s="25" t="s">
        <v>1957</v>
      </c>
      <c r="C1483" s="57" t="s">
        <v>1944</v>
      </c>
      <c r="D1483" s="247"/>
      <c r="E1483" s="13">
        <v>718000</v>
      </c>
      <c r="F1483" s="13">
        <v>718000</v>
      </c>
      <c r="G1483" s="125">
        <f t="shared" si="43"/>
        <v>0</v>
      </c>
      <c r="H1483" s="247"/>
    </row>
    <row r="1484" spans="1:8" ht="16.5">
      <c r="A1484" s="3">
        <f>IF(F1484="","",COUNTA($F$1249:F1484))</f>
        <v>225</v>
      </c>
      <c r="B1484" s="25" t="s">
        <v>1958</v>
      </c>
      <c r="C1484" s="57" t="s">
        <v>1944</v>
      </c>
      <c r="D1484" s="247"/>
      <c r="E1484" s="13">
        <v>1580000</v>
      </c>
      <c r="F1484" s="13">
        <v>1580000</v>
      </c>
      <c r="G1484" s="125">
        <f t="shared" si="43"/>
        <v>0</v>
      </c>
      <c r="H1484" s="247"/>
    </row>
    <row r="1485" spans="1:8" ht="16.5">
      <c r="A1485" s="3">
        <f>IF(F1485="","",COUNTA($F$1249:F1485))</f>
        <v>226</v>
      </c>
      <c r="B1485" s="25" t="s">
        <v>1959</v>
      </c>
      <c r="C1485" s="57" t="s">
        <v>1944</v>
      </c>
      <c r="D1485" s="247"/>
      <c r="E1485" s="13">
        <v>2223000</v>
      </c>
      <c r="F1485" s="13">
        <v>2223000</v>
      </c>
      <c r="G1485" s="125">
        <f t="shared" si="43"/>
        <v>0</v>
      </c>
      <c r="H1485" s="247"/>
    </row>
    <row r="1486" spans="1:8" ht="16.5">
      <c r="A1486" s="3">
        <f>IF(F1486="","",COUNTA($F$1249:F1486))</f>
        <v>227</v>
      </c>
      <c r="B1486" s="25" t="s">
        <v>1960</v>
      </c>
      <c r="C1486" s="57" t="s">
        <v>1944</v>
      </c>
      <c r="D1486" s="247"/>
      <c r="E1486" s="13">
        <v>4277000</v>
      </c>
      <c r="F1486" s="13">
        <v>4277000</v>
      </c>
      <c r="G1486" s="125">
        <f t="shared" si="43"/>
        <v>0</v>
      </c>
      <c r="H1486" s="247"/>
    </row>
    <row r="1487" spans="1:8" ht="33">
      <c r="A1487" s="3">
        <f>IF(F1487="","",COUNTA($F$1249:F1487))</f>
      </c>
      <c r="B1487" s="37" t="s">
        <v>119</v>
      </c>
      <c r="C1487" s="57"/>
      <c r="E1487" s="13"/>
      <c r="F1487" s="13"/>
      <c r="G1487" s="125" t="e">
        <f t="shared" si="43"/>
        <v>#DIV/0!</v>
      </c>
      <c r="H1487" s="247"/>
    </row>
    <row r="1488" spans="1:8" ht="16.5">
      <c r="A1488" s="3">
        <f>IF(F1488="","",COUNTA($F$1249:F1488))</f>
        <v>228</v>
      </c>
      <c r="B1488" s="25" t="s">
        <v>1962</v>
      </c>
      <c r="C1488" s="57" t="s">
        <v>1944</v>
      </c>
      <c r="D1488" s="247" t="s">
        <v>116</v>
      </c>
      <c r="E1488" s="13">
        <v>82000</v>
      </c>
      <c r="F1488" s="13">
        <v>82000</v>
      </c>
      <c r="G1488" s="125">
        <f t="shared" si="43"/>
        <v>0</v>
      </c>
      <c r="H1488" s="247"/>
    </row>
    <row r="1489" spans="1:8" ht="16.5">
      <c r="A1489" s="3">
        <f>IF(F1489="","",COUNTA($F$1249:F1489))</f>
        <v>229</v>
      </c>
      <c r="B1489" s="25" t="s">
        <v>1961</v>
      </c>
      <c r="C1489" s="57" t="s">
        <v>1944</v>
      </c>
      <c r="D1489" s="247"/>
      <c r="E1489" s="13">
        <v>113000</v>
      </c>
      <c r="F1489" s="13">
        <v>113000</v>
      </c>
      <c r="G1489" s="125">
        <f t="shared" si="43"/>
        <v>0</v>
      </c>
      <c r="H1489" s="247"/>
    </row>
    <row r="1490" spans="1:8" ht="16.5">
      <c r="A1490" s="3">
        <f>IF(F1490="","",COUNTA($F$1249:F1490))</f>
        <v>230</v>
      </c>
      <c r="B1490" s="25" t="s">
        <v>1954</v>
      </c>
      <c r="C1490" s="57" t="s">
        <v>1944</v>
      </c>
      <c r="D1490" s="247"/>
      <c r="E1490" s="13">
        <v>192000</v>
      </c>
      <c r="F1490" s="13">
        <v>192000</v>
      </c>
      <c r="G1490" s="125">
        <f t="shared" si="43"/>
        <v>0</v>
      </c>
      <c r="H1490" s="247"/>
    </row>
    <row r="1491" spans="1:8" ht="16.5">
      <c r="A1491" s="3">
        <f>IF(F1491="","",COUNTA($F$1249:F1491))</f>
        <v>231</v>
      </c>
      <c r="B1491" s="25" t="s">
        <v>1955</v>
      </c>
      <c r="C1491" s="57" t="s">
        <v>1944</v>
      </c>
      <c r="D1491" s="247"/>
      <c r="E1491" s="13">
        <v>400000</v>
      </c>
      <c r="F1491" s="13">
        <v>400000</v>
      </c>
      <c r="G1491" s="125">
        <f t="shared" si="43"/>
        <v>0</v>
      </c>
      <c r="H1491" s="247"/>
    </row>
    <row r="1492" spans="1:8" ht="16.5">
      <c r="A1492" s="3">
        <f>IF(F1492="","",COUNTA($F$1249:F1492))</f>
        <v>232</v>
      </c>
      <c r="B1492" s="25" t="s">
        <v>1956</v>
      </c>
      <c r="C1492" s="57" t="s">
        <v>1944</v>
      </c>
      <c r="D1492" s="247"/>
      <c r="E1492" s="13">
        <v>537000</v>
      </c>
      <c r="F1492" s="13">
        <v>537000</v>
      </c>
      <c r="G1492" s="125">
        <f t="shared" si="43"/>
        <v>0</v>
      </c>
      <c r="H1492" s="247"/>
    </row>
    <row r="1493" spans="1:8" ht="16.5">
      <c r="A1493" s="3">
        <f>IF(F1493="","",COUNTA($F$1249:F1493))</f>
        <v>233</v>
      </c>
      <c r="B1493" s="25" t="s">
        <v>1957</v>
      </c>
      <c r="C1493" s="57" t="s">
        <v>1944</v>
      </c>
      <c r="D1493" s="247"/>
      <c r="E1493" s="13">
        <v>768000</v>
      </c>
      <c r="F1493" s="13">
        <v>768000</v>
      </c>
      <c r="G1493" s="125">
        <f t="shared" si="43"/>
        <v>0</v>
      </c>
      <c r="H1493" s="247"/>
    </row>
    <row r="1494" spans="1:8" ht="16.5">
      <c r="A1494" s="3">
        <f>IF(F1494="","",COUNTA($F$1249:F1494))</f>
        <v>234</v>
      </c>
      <c r="B1494" s="25" t="s">
        <v>1958</v>
      </c>
      <c r="C1494" s="57" t="s">
        <v>1944</v>
      </c>
      <c r="D1494" s="247"/>
      <c r="E1494" s="13">
        <v>1937000</v>
      </c>
      <c r="F1494" s="13">
        <v>1937000</v>
      </c>
      <c r="G1494" s="125">
        <f t="shared" si="43"/>
        <v>0</v>
      </c>
      <c r="H1494" s="247"/>
    </row>
    <row r="1495" spans="1:8" ht="16.5">
      <c r="A1495" s="3">
        <f>IF(F1495="","",COUNTA($F$1249:F1495))</f>
        <v>235</v>
      </c>
      <c r="B1495" s="25" t="s">
        <v>1959</v>
      </c>
      <c r="C1495" s="57" t="s">
        <v>1944</v>
      </c>
      <c r="D1495" s="247"/>
      <c r="E1495" s="13">
        <v>2330000</v>
      </c>
      <c r="F1495" s="13">
        <v>2330000</v>
      </c>
      <c r="G1495" s="125">
        <f t="shared" si="43"/>
        <v>0</v>
      </c>
      <c r="H1495" s="247"/>
    </row>
    <row r="1496" spans="1:8" ht="16.5">
      <c r="A1496" s="3">
        <f>IF(F1496="","",COUNTA($F$1249:F1496))</f>
        <v>236</v>
      </c>
      <c r="B1496" s="25" t="s">
        <v>1960</v>
      </c>
      <c r="C1496" s="57" t="s">
        <v>1944</v>
      </c>
      <c r="D1496" s="247"/>
      <c r="E1496" s="13">
        <v>3596000</v>
      </c>
      <c r="F1496" s="13">
        <v>3596000</v>
      </c>
      <c r="G1496" s="125">
        <f t="shared" si="43"/>
        <v>0</v>
      </c>
      <c r="H1496" s="247"/>
    </row>
    <row r="1497" spans="1:8" ht="33">
      <c r="A1497" s="3">
        <f>IF(F1497="","",COUNTA($F$1249:F1497))</f>
      </c>
      <c r="B1497" s="37" t="s">
        <v>120</v>
      </c>
      <c r="C1497" s="57"/>
      <c r="E1497" s="13"/>
      <c r="F1497" s="13"/>
      <c r="G1497" s="125" t="e">
        <f t="shared" si="43"/>
        <v>#DIV/0!</v>
      </c>
      <c r="H1497" s="247"/>
    </row>
    <row r="1498" spans="1:8" ht="16.5">
      <c r="A1498" s="3">
        <f>IF(F1498="","",COUNTA($F$1249:F1498))</f>
        <v>237</v>
      </c>
      <c r="B1498" s="25" t="s">
        <v>1963</v>
      </c>
      <c r="C1498" s="57" t="s">
        <v>1944</v>
      </c>
      <c r="D1498" s="247" t="s">
        <v>116</v>
      </c>
      <c r="E1498" s="13">
        <v>79000</v>
      </c>
      <c r="F1498" s="13">
        <v>79000</v>
      </c>
      <c r="G1498" s="125">
        <f t="shared" si="43"/>
        <v>0</v>
      </c>
      <c r="H1498" s="247"/>
    </row>
    <row r="1499" spans="1:8" ht="16.5">
      <c r="A1499" s="3">
        <f>IF(F1499="","",COUNTA($F$1249:F1499))</f>
        <v>238</v>
      </c>
      <c r="B1499" s="25" t="s">
        <v>1964</v>
      </c>
      <c r="C1499" s="57" t="s">
        <v>1944</v>
      </c>
      <c r="D1499" s="247"/>
      <c r="E1499" s="13">
        <v>109000</v>
      </c>
      <c r="F1499" s="13">
        <v>109000</v>
      </c>
      <c r="G1499" s="125">
        <f t="shared" si="43"/>
        <v>0</v>
      </c>
      <c r="H1499" s="247"/>
    </row>
    <row r="1500" spans="1:8" ht="33">
      <c r="A1500" s="3">
        <f>IF(F1500="","",COUNTA($F$1249:F1500))</f>
      </c>
      <c r="B1500" s="37" t="s">
        <v>121</v>
      </c>
      <c r="C1500" s="57"/>
      <c r="E1500" s="13"/>
      <c r="F1500" s="13"/>
      <c r="G1500" s="125" t="e">
        <f t="shared" si="43"/>
        <v>#DIV/0!</v>
      </c>
      <c r="H1500" s="247"/>
    </row>
    <row r="1501" spans="1:8" ht="16.5">
      <c r="A1501" s="3">
        <f>IF(F1501="","",COUNTA($F$1249:F1501))</f>
        <v>239</v>
      </c>
      <c r="B1501" s="25" t="s">
        <v>1961</v>
      </c>
      <c r="C1501" s="57" t="s">
        <v>1944</v>
      </c>
      <c r="D1501" s="247" t="s">
        <v>116</v>
      </c>
      <c r="E1501" s="13">
        <v>117000</v>
      </c>
      <c r="F1501" s="13">
        <v>117000</v>
      </c>
      <c r="G1501" s="125">
        <f t="shared" si="43"/>
        <v>0</v>
      </c>
      <c r="H1501" s="247"/>
    </row>
    <row r="1502" spans="1:8" ht="16.5">
      <c r="A1502" s="3">
        <f>IF(F1502="","",COUNTA($F$1249:F1502))</f>
        <v>240</v>
      </c>
      <c r="B1502" s="25" t="s">
        <v>1954</v>
      </c>
      <c r="C1502" s="57" t="s">
        <v>1944</v>
      </c>
      <c r="D1502" s="247"/>
      <c r="E1502" s="13">
        <v>129000</v>
      </c>
      <c r="F1502" s="13">
        <v>129000</v>
      </c>
      <c r="G1502" s="125">
        <f t="shared" si="43"/>
        <v>0</v>
      </c>
      <c r="H1502" s="247"/>
    </row>
    <row r="1503" spans="1:8" ht="16.5">
      <c r="A1503" s="3">
        <f>IF(F1503="","",COUNTA($F$1249:F1503))</f>
        <v>241</v>
      </c>
      <c r="B1503" s="25" t="s">
        <v>1955</v>
      </c>
      <c r="C1503" s="57" t="s">
        <v>1944</v>
      </c>
      <c r="D1503" s="247"/>
      <c r="E1503" s="13">
        <v>267000</v>
      </c>
      <c r="F1503" s="13">
        <v>267000</v>
      </c>
      <c r="G1503" s="125">
        <f t="shared" si="43"/>
        <v>0</v>
      </c>
      <c r="H1503" s="247"/>
    </row>
    <row r="1504" spans="1:8" ht="16.5">
      <c r="A1504" s="3">
        <f>IF(F1504="","",COUNTA($F$1249:F1504))</f>
        <v>242</v>
      </c>
      <c r="B1504" s="25" t="s">
        <v>1956</v>
      </c>
      <c r="C1504" s="57" t="s">
        <v>1944</v>
      </c>
      <c r="D1504" s="247"/>
      <c r="E1504" s="13">
        <v>280000</v>
      </c>
      <c r="F1504" s="13">
        <v>280000</v>
      </c>
      <c r="G1504" s="125">
        <f t="shared" si="43"/>
        <v>0</v>
      </c>
      <c r="H1504" s="247"/>
    </row>
    <row r="1505" spans="1:8" ht="16.5">
      <c r="A1505" s="3">
        <f>IF(F1505="","",COUNTA($F$1249:F1505))</f>
        <v>243</v>
      </c>
      <c r="B1505" s="25" t="s">
        <v>1957</v>
      </c>
      <c r="C1505" s="57" t="s">
        <v>1944</v>
      </c>
      <c r="D1505" s="247"/>
      <c r="E1505" s="13">
        <v>415000</v>
      </c>
      <c r="F1505" s="13">
        <v>415000</v>
      </c>
      <c r="G1505" s="125">
        <f t="shared" si="43"/>
        <v>0</v>
      </c>
      <c r="H1505" s="247"/>
    </row>
    <row r="1506" spans="1:8" ht="16.5">
      <c r="A1506" s="3">
        <f>IF(F1506="","",COUNTA($F$1249:F1506))</f>
        <v>244</v>
      </c>
      <c r="B1506" s="25" t="s">
        <v>1958</v>
      </c>
      <c r="C1506" s="57" t="s">
        <v>1944</v>
      </c>
      <c r="D1506" s="247"/>
      <c r="E1506" s="13">
        <v>871000</v>
      </c>
      <c r="F1506" s="13">
        <v>871000</v>
      </c>
      <c r="G1506" s="125">
        <f t="shared" si="43"/>
        <v>0</v>
      </c>
      <c r="H1506" s="247"/>
    </row>
    <row r="1507" spans="1:8" ht="16.5">
      <c r="A1507" s="3">
        <f>IF(F1507="","",COUNTA($F$1249:F1507))</f>
        <v>245</v>
      </c>
      <c r="B1507" s="25" t="s">
        <v>1959</v>
      </c>
      <c r="C1507" s="57" t="s">
        <v>1944</v>
      </c>
      <c r="D1507" s="247"/>
      <c r="E1507" s="13">
        <v>1112000</v>
      </c>
      <c r="F1507" s="13">
        <v>1112000</v>
      </c>
      <c r="G1507" s="125">
        <f t="shared" si="43"/>
        <v>0</v>
      </c>
      <c r="H1507" s="247"/>
    </row>
    <row r="1508" spans="1:8" ht="16.5">
      <c r="A1508" s="3">
        <f>IF(F1508="","",COUNTA($F$1249:F1508))</f>
        <v>246</v>
      </c>
      <c r="B1508" s="25" t="s">
        <v>1960</v>
      </c>
      <c r="C1508" s="57" t="s">
        <v>1944</v>
      </c>
      <c r="D1508" s="247"/>
      <c r="E1508" s="13">
        <v>2118000</v>
      </c>
      <c r="F1508" s="13">
        <v>2118000</v>
      </c>
      <c r="G1508" s="125">
        <f t="shared" si="43"/>
        <v>0</v>
      </c>
      <c r="H1508" s="247"/>
    </row>
    <row r="1509" spans="1:8" ht="33">
      <c r="A1509" s="3">
        <f>IF(F1509="","",COUNTA($F$1249:F1509))</f>
      </c>
      <c r="B1509" s="37" t="s">
        <v>122</v>
      </c>
      <c r="C1509" s="57"/>
      <c r="E1509" s="13"/>
      <c r="F1509" s="13"/>
      <c r="G1509" s="125" t="e">
        <f t="shared" si="43"/>
        <v>#DIV/0!</v>
      </c>
      <c r="H1509" s="247"/>
    </row>
    <row r="1510" spans="1:8" ht="16.5">
      <c r="A1510" s="3">
        <f>IF(F1510="","",COUNTA($F$1249:F1510))</f>
        <v>247</v>
      </c>
      <c r="B1510" s="25" t="s">
        <v>1965</v>
      </c>
      <c r="C1510" s="57" t="s">
        <v>1944</v>
      </c>
      <c r="D1510" s="247" t="s">
        <v>116</v>
      </c>
      <c r="E1510" s="13">
        <v>101000</v>
      </c>
      <c r="F1510" s="13">
        <v>101000</v>
      </c>
      <c r="G1510" s="125">
        <f t="shared" si="43"/>
        <v>0</v>
      </c>
      <c r="H1510" s="247"/>
    </row>
    <row r="1511" spans="1:8" ht="16.5">
      <c r="A1511" s="3">
        <f>IF(F1511="","",COUNTA($F$1249:F1511))</f>
        <v>248</v>
      </c>
      <c r="B1511" s="25" t="s">
        <v>1966</v>
      </c>
      <c r="C1511" s="57" t="s">
        <v>1944</v>
      </c>
      <c r="D1511" s="247"/>
      <c r="E1511" s="13">
        <v>120000</v>
      </c>
      <c r="F1511" s="13">
        <v>120000</v>
      </c>
      <c r="G1511" s="125">
        <f t="shared" si="43"/>
        <v>0</v>
      </c>
      <c r="H1511" s="247"/>
    </row>
    <row r="1512" spans="1:8" ht="16.5">
      <c r="A1512" s="3">
        <f>IF(F1512="","",COUNTA($F$1249:F1512))</f>
        <v>249</v>
      </c>
      <c r="B1512" s="25" t="s">
        <v>1967</v>
      </c>
      <c r="C1512" s="57" t="s">
        <v>1944</v>
      </c>
      <c r="D1512" s="247"/>
      <c r="E1512" s="13">
        <v>142000</v>
      </c>
      <c r="F1512" s="13">
        <v>142000</v>
      </c>
      <c r="G1512" s="125">
        <f t="shared" si="43"/>
        <v>0</v>
      </c>
      <c r="H1512" s="247"/>
    </row>
    <row r="1513" spans="1:8" ht="16.5">
      <c r="A1513" s="3">
        <f>IF(F1513="","",COUNTA($F$1249:F1513))</f>
        <v>250</v>
      </c>
      <c r="B1513" s="25" t="s">
        <v>1968</v>
      </c>
      <c r="C1513" s="57" t="s">
        <v>1944</v>
      </c>
      <c r="D1513" s="247"/>
      <c r="E1513" s="13">
        <v>202000</v>
      </c>
      <c r="F1513" s="13">
        <v>202000</v>
      </c>
      <c r="G1513" s="125">
        <f t="shared" si="43"/>
        <v>0</v>
      </c>
      <c r="H1513" s="247"/>
    </row>
    <row r="1514" spans="1:8" ht="33">
      <c r="A1514" s="3">
        <f>IF(F1514="","",COUNTA($F$1249:F1514))</f>
      </c>
      <c r="B1514" s="37" t="s">
        <v>123</v>
      </c>
      <c r="C1514" s="57"/>
      <c r="E1514" s="13"/>
      <c r="F1514" s="13"/>
      <c r="G1514" s="125" t="e">
        <f t="shared" si="43"/>
        <v>#DIV/0!</v>
      </c>
      <c r="H1514" s="247"/>
    </row>
    <row r="1515" spans="1:8" ht="33">
      <c r="A1515" s="3">
        <f>IF(F1515="","",COUNTA($F$1249:F1515))</f>
        <v>251</v>
      </c>
      <c r="B1515" s="25" t="s">
        <v>1962</v>
      </c>
      <c r="C1515" s="57" t="s">
        <v>1969</v>
      </c>
      <c r="D1515" s="43" t="s">
        <v>116</v>
      </c>
      <c r="E1515" s="13">
        <v>98000</v>
      </c>
      <c r="F1515" s="13">
        <v>98000</v>
      </c>
      <c r="G1515" s="125">
        <f t="shared" si="43"/>
        <v>0</v>
      </c>
      <c r="H1515" s="247"/>
    </row>
    <row r="1516" spans="1:8" ht="33">
      <c r="A1516" s="3">
        <f>IF(F1516="","",COUNTA($F$1249:F1516))</f>
      </c>
      <c r="B1516" s="37" t="s">
        <v>124</v>
      </c>
      <c r="C1516" s="57"/>
      <c r="E1516" s="13"/>
      <c r="F1516" s="13"/>
      <c r="G1516" s="125" t="e">
        <f t="shared" si="43"/>
        <v>#DIV/0!</v>
      </c>
      <c r="H1516" s="247"/>
    </row>
    <row r="1517" spans="1:8" ht="33">
      <c r="A1517" s="3">
        <f>IF(F1517="","",COUNTA($F$1249:F1517))</f>
        <v>252</v>
      </c>
      <c r="B1517" s="25" t="s">
        <v>1962</v>
      </c>
      <c r="C1517" s="57" t="s">
        <v>1944</v>
      </c>
      <c r="D1517" s="43" t="s">
        <v>116</v>
      </c>
      <c r="E1517" s="13">
        <v>80000</v>
      </c>
      <c r="F1517" s="13">
        <v>80000</v>
      </c>
      <c r="G1517" s="125">
        <f t="shared" si="43"/>
        <v>0</v>
      </c>
      <c r="H1517" s="247"/>
    </row>
    <row r="1518" spans="1:8" ht="33">
      <c r="A1518" s="3">
        <f>IF(F1518="","",COUNTA($F$1249:F1518))</f>
      </c>
      <c r="B1518" s="37" t="s">
        <v>125</v>
      </c>
      <c r="C1518" s="57"/>
      <c r="E1518" s="13"/>
      <c r="F1518" s="13"/>
      <c r="G1518" s="125" t="e">
        <f t="shared" si="43"/>
        <v>#DIV/0!</v>
      </c>
      <c r="H1518" s="247"/>
    </row>
    <row r="1519" spans="1:8" ht="16.5">
      <c r="A1519" s="3">
        <f>IF(F1519="","",COUNTA($F$1249:F1519))</f>
        <v>253</v>
      </c>
      <c r="B1519" s="25" t="s">
        <v>1962</v>
      </c>
      <c r="C1519" s="57" t="s">
        <v>1944</v>
      </c>
      <c r="D1519" s="247" t="s">
        <v>118</v>
      </c>
      <c r="E1519" s="13">
        <v>98000</v>
      </c>
      <c r="F1519" s="13">
        <v>98000</v>
      </c>
      <c r="G1519" s="125">
        <f t="shared" si="43"/>
        <v>0</v>
      </c>
      <c r="H1519" s="247"/>
    </row>
    <row r="1520" spans="1:8" ht="16.5">
      <c r="A1520" s="3">
        <f>IF(F1520="","",COUNTA($F$1249:F1520))</f>
        <v>254</v>
      </c>
      <c r="B1520" s="25" t="s">
        <v>1953</v>
      </c>
      <c r="C1520" s="57" t="s">
        <v>1944</v>
      </c>
      <c r="D1520" s="247"/>
      <c r="E1520" s="13">
        <v>125000</v>
      </c>
      <c r="F1520" s="13">
        <v>125000</v>
      </c>
      <c r="G1520" s="125">
        <f t="shared" si="43"/>
        <v>0</v>
      </c>
      <c r="H1520" s="247"/>
    </row>
    <row r="1521" spans="1:8" ht="16.5">
      <c r="A1521" s="3">
        <f>IF(F1521="","",COUNTA($F$1249:F1521))</f>
        <v>255</v>
      </c>
      <c r="B1521" s="25" t="s">
        <v>1954</v>
      </c>
      <c r="C1521" s="57" t="s">
        <v>1944</v>
      </c>
      <c r="D1521" s="247"/>
      <c r="E1521" s="13">
        <v>169000</v>
      </c>
      <c r="F1521" s="13">
        <v>169000</v>
      </c>
      <c r="G1521" s="125">
        <f t="shared" si="43"/>
        <v>0</v>
      </c>
      <c r="H1521" s="247"/>
    </row>
    <row r="1522" spans="1:8" ht="16.5">
      <c r="A1522" s="3">
        <f>IF(F1522="","",COUNTA($F$1249:F1522))</f>
        <v>256</v>
      </c>
      <c r="B1522" s="25" t="s">
        <v>1955</v>
      </c>
      <c r="C1522" s="57" t="s">
        <v>1944</v>
      </c>
      <c r="D1522" s="247"/>
      <c r="E1522" s="13">
        <v>255000</v>
      </c>
      <c r="F1522" s="13">
        <v>255000</v>
      </c>
      <c r="G1522" s="125">
        <f t="shared" si="43"/>
        <v>0</v>
      </c>
      <c r="H1522" s="247"/>
    </row>
    <row r="1523" spans="1:8" ht="16.5">
      <c r="A1523" s="3">
        <f>IF(F1523="","",COUNTA($F$1249:F1523))</f>
        <v>257</v>
      </c>
      <c r="B1523" s="25" t="s">
        <v>1956</v>
      </c>
      <c r="C1523" s="57" t="s">
        <v>1944</v>
      </c>
      <c r="D1523" s="247"/>
      <c r="E1523" s="13">
        <v>380000</v>
      </c>
      <c r="F1523" s="13">
        <v>380000</v>
      </c>
      <c r="G1523" s="125">
        <f t="shared" si="43"/>
        <v>0</v>
      </c>
      <c r="H1523" s="247"/>
    </row>
    <row r="1524" spans="1:8" ht="16.5">
      <c r="A1524" s="3">
        <f>IF(F1524="","",COUNTA($F$1249:F1524))</f>
        <v>258</v>
      </c>
      <c r="B1524" s="25" t="s">
        <v>1957</v>
      </c>
      <c r="C1524" s="57" t="s">
        <v>1944</v>
      </c>
      <c r="D1524" s="247"/>
      <c r="E1524" s="13">
        <v>546000</v>
      </c>
      <c r="F1524" s="13">
        <v>546000</v>
      </c>
      <c r="G1524" s="125">
        <f t="shared" si="43"/>
        <v>0</v>
      </c>
      <c r="H1524" s="247"/>
    </row>
    <row r="1525" spans="1:8" ht="66">
      <c r="A1525" s="3">
        <f>IF(F1525="","",COUNTA($F$1249:F1525))</f>
      </c>
      <c r="B1525" s="37" t="s">
        <v>126</v>
      </c>
      <c r="C1525" s="57"/>
      <c r="E1525" s="13"/>
      <c r="F1525" s="13"/>
      <c r="G1525" s="125" t="e">
        <f t="shared" si="43"/>
        <v>#DIV/0!</v>
      </c>
      <c r="H1525" s="247"/>
    </row>
    <row r="1526" spans="1:8" ht="16.5">
      <c r="A1526" s="3">
        <f>IF(F1526="","",COUNTA($F$1249:F1526))</f>
        <v>259</v>
      </c>
      <c r="B1526" s="25" t="s">
        <v>1962</v>
      </c>
      <c r="C1526" s="57" t="s">
        <v>1944</v>
      </c>
      <c r="D1526" s="275" t="s">
        <v>127</v>
      </c>
      <c r="E1526" s="13">
        <v>636000</v>
      </c>
      <c r="F1526" s="13">
        <v>636000</v>
      </c>
      <c r="G1526" s="125">
        <f t="shared" si="43"/>
        <v>0</v>
      </c>
      <c r="H1526" s="247"/>
    </row>
    <row r="1527" spans="1:8" ht="16.5">
      <c r="A1527" s="3">
        <f>IF(F1527="","",COUNTA($F$1249:F1527))</f>
        <v>260</v>
      </c>
      <c r="B1527" s="25" t="s">
        <v>1953</v>
      </c>
      <c r="C1527" s="57" t="s">
        <v>1944</v>
      </c>
      <c r="D1527" s="275"/>
      <c r="E1527" s="13">
        <v>1950000</v>
      </c>
      <c r="F1527" s="13">
        <v>1950000</v>
      </c>
      <c r="G1527" s="125">
        <f t="shared" si="43"/>
        <v>0</v>
      </c>
      <c r="H1527" s="247"/>
    </row>
    <row r="1528" spans="1:8" ht="16.5">
      <c r="A1528" s="3">
        <f>IF(F1528="","",COUNTA($F$1249:F1528))</f>
        <v>261</v>
      </c>
      <c r="B1528" s="25" t="s">
        <v>1954</v>
      </c>
      <c r="C1528" s="57" t="s">
        <v>1944</v>
      </c>
      <c r="D1528" s="275"/>
      <c r="E1528" s="13">
        <v>3990000</v>
      </c>
      <c r="F1528" s="13">
        <v>3990000</v>
      </c>
      <c r="G1528" s="125">
        <f t="shared" si="43"/>
        <v>0</v>
      </c>
      <c r="H1528" s="247"/>
    </row>
    <row r="1529" spans="1:8" ht="16.5">
      <c r="A1529" s="3">
        <f>IF(F1529="","",COUNTA($F$1249:F1529))</f>
        <v>262</v>
      </c>
      <c r="B1529" s="25" t="s">
        <v>1956</v>
      </c>
      <c r="C1529" s="57" t="s">
        <v>1944</v>
      </c>
      <c r="D1529" s="275"/>
      <c r="E1529" s="13">
        <v>10800000</v>
      </c>
      <c r="F1529" s="13">
        <v>10800000</v>
      </c>
      <c r="G1529" s="125">
        <f t="shared" si="43"/>
        <v>0</v>
      </c>
      <c r="H1529" s="247"/>
    </row>
    <row r="1530" spans="1:8" ht="16.5">
      <c r="A1530" s="3">
        <f>IF(F1530="","",COUNTA($F$1249:F1530))</f>
      </c>
      <c r="B1530" s="37" t="s">
        <v>128</v>
      </c>
      <c r="C1530" s="57"/>
      <c r="E1530" s="13"/>
      <c r="F1530" s="13"/>
      <c r="G1530" s="125" t="e">
        <f t="shared" si="43"/>
        <v>#DIV/0!</v>
      </c>
      <c r="H1530" s="247"/>
    </row>
    <row r="1531" spans="1:8" ht="16.5">
      <c r="A1531" s="3">
        <f>IF(F1531="","",COUNTA($F$1249:F1531))</f>
        <v>263</v>
      </c>
      <c r="B1531" s="25" t="s">
        <v>1972</v>
      </c>
      <c r="C1531" s="57" t="s">
        <v>1944</v>
      </c>
      <c r="D1531" s="62" t="s">
        <v>129</v>
      </c>
      <c r="E1531" s="13">
        <v>9360000</v>
      </c>
      <c r="F1531" s="13">
        <v>9360000</v>
      </c>
      <c r="G1531" s="125">
        <f t="shared" si="43"/>
        <v>0</v>
      </c>
      <c r="H1531" s="247"/>
    </row>
    <row r="1532" spans="1:8" ht="16.5">
      <c r="A1532" s="3">
        <f>IF(F1532="","",COUNTA($F$1249:F1532))</f>
      </c>
      <c r="B1532" s="37" t="s">
        <v>1973</v>
      </c>
      <c r="C1532" s="57"/>
      <c r="E1532" s="13"/>
      <c r="F1532" s="13"/>
      <c r="G1532" s="125" t="e">
        <f t="shared" si="43"/>
        <v>#DIV/0!</v>
      </c>
      <c r="H1532" s="247"/>
    </row>
    <row r="1533" spans="1:8" ht="16.5">
      <c r="A1533" s="3">
        <f>IF(F1533="","",COUNTA($F$1249:F1533))</f>
        <v>264</v>
      </c>
      <c r="B1533" s="25" t="s">
        <v>1972</v>
      </c>
      <c r="C1533" s="57" t="s">
        <v>1944</v>
      </c>
      <c r="E1533" s="13">
        <v>9360000</v>
      </c>
      <c r="F1533" s="13">
        <v>9360000</v>
      </c>
      <c r="G1533" s="125">
        <f t="shared" si="43"/>
        <v>0</v>
      </c>
      <c r="H1533" s="247"/>
    </row>
    <row r="1534" spans="1:8" ht="16.5">
      <c r="A1534" s="3">
        <f>IF(F1534="","",COUNTA($F$1249:F1534))</f>
      </c>
      <c r="B1534" s="37" t="s">
        <v>130</v>
      </c>
      <c r="C1534" s="57"/>
      <c r="E1534" s="13"/>
      <c r="F1534" s="13"/>
      <c r="G1534" s="125" t="e">
        <f t="shared" si="43"/>
        <v>#DIV/0!</v>
      </c>
      <c r="H1534" s="247"/>
    </row>
    <row r="1535" spans="1:8" ht="16.5">
      <c r="A1535" s="3">
        <f>IF(F1535="","",COUNTA($F$1249:F1535))</f>
        <v>265</v>
      </c>
      <c r="B1535" s="25" t="s">
        <v>1974</v>
      </c>
      <c r="C1535" s="57" t="s">
        <v>1944</v>
      </c>
      <c r="D1535" s="247" t="s">
        <v>131</v>
      </c>
      <c r="E1535" s="13">
        <v>6400</v>
      </c>
      <c r="F1535" s="13">
        <v>6400</v>
      </c>
      <c r="G1535" s="125">
        <f t="shared" si="43"/>
        <v>0</v>
      </c>
      <c r="H1535" s="247"/>
    </row>
    <row r="1536" spans="1:8" ht="16.5">
      <c r="A1536" s="3">
        <f>IF(F1536="","",COUNTA($F$1249:F1536))</f>
        <v>266</v>
      </c>
      <c r="B1536" s="25" t="s">
        <v>1975</v>
      </c>
      <c r="C1536" s="57" t="s">
        <v>1944</v>
      </c>
      <c r="D1536" s="247"/>
      <c r="E1536" s="13">
        <v>10200</v>
      </c>
      <c r="F1536" s="13">
        <v>10200</v>
      </c>
      <c r="G1536" s="125">
        <f t="shared" si="43"/>
        <v>0</v>
      </c>
      <c r="H1536" s="247"/>
    </row>
    <row r="1537" spans="1:8" ht="16.5">
      <c r="A1537" s="3">
        <f>IF(F1537="","",COUNTA($F$1249:F1537))</f>
        <v>267</v>
      </c>
      <c r="B1537" s="25" t="s">
        <v>1976</v>
      </c>
      <c r="C1537" s="57" t="s">
        <v>1944</v>
      </c>
      <c r="D1537" s="247"/>
      <c r="E1537" s="13">
        <v>18400</v>
      </c>
      <c r="F1537" s="13">
        <v>18400</v>
      </c>
      <c r="G1537" s="125">
        <f t="shared" si="43"/>
        <v>0</v>
      </c>
      <c r="H1537" s="247"/>
    </row>
    <row r="1538" spans="1:8" ht="16.5">
      <c r="A1538" s="3">
        <f>IF(F1538="","",COUNTA($F$1249:F1538))</f>
        <v>268</v>
      </c>
      <c r="B1538" s="25" t="s">
        <v>1977</v>
      </c>
      <c r="C1538" s="57" t="s">
        <v>1944</v>
      </c>
      <c r="D1538" s="247"/>
      <c r="E1538" s="13">
        <v>28400</v>
      </c>
      <c r="F1538" s="13">
        <v>28400</v>
      </c>
      <c r="G1538" s="125">
        <f aca="true" t="shared" si="44" ref="G1538:G1601">(E1538-F1538)/E1538</f>
        <v>0</v>
      </c>
      <c r="H1538" s="247"/>
    </row>
    <row r="1539" spans="1:8" ht="16.5">
      <c r="A1539" s="3">
        <f>IF(F1539="","",COUNTA($F$1249:F1539))</f>
        <v>269</v>
      </c>
      <c r="B1539" s="25" t="s">
        <v>1978</v>
      </c>
      <c r="C1539" s="57" t="s">
        <v>1944</v>
      </c>
      <c r="D1539" s="247"/>
      <c r="E1539" s="13">
        <v>36100</v>
      </c>
      <c r="F1539" s="13">
        <v>36100</v>
      </c>
      <c r="G1539" s="125">
        <f t="shared" si="44"/>
        <v>0</v>
      </c>
      <c r="H1539" s="247"/>
    </row>
    <row r="1540" spans="1:8" ht="16.5">
      <c r="A1540" s="3">
        <f>IF(F1540="","",COUNTA($F$1249:F1540))</f>
        <v>270</v>
      </c>
      <c r="B1540" s="25" t="s">
        <v>1979</v>
      </c>
      <c r="C1540" s="57" t="s">
        <v>1944</v>
      </c>
      <c r="D1540" s="247"/>
      <c r="E1540" s="13">
        <v>57000</v>
      </c>
      <c r="F1540" s="13">
        <v>57000</v>
      </c>
      <c r="G1540" s="125">
        <f t="shared" si="44"/>
        <v>0</v>
      </c>
      <c r="H1540" s="247"/>
    </row>
    <row r="1541" spans="1:8" ht="16.5">
      <c r="A1541" s="3">
        <f>IF(F1541="","",COUNTA($F$1249:F1541))</f>
        <v>271</v>
      </c>
      <c r="B1541" s="25" t="s">
        <v>1980</v>
      </c>
      <c r="C1541" s="57" t="s">
        <v>1944</v>
      </c>
      <c r="D1541" s="247"/>
      <c r="E1541" s="13">
        <v>96700</v>
      </c>
      <c r="F1541" s="13">
        <v>96700</v>
      </c>
      <c r="G1541" s="125">
        <f t="shared" si="44"/>
        <v>0</v>
      </c>
      <c r="H1541" s="247"/>
    </row>
    <row r="1542" spans="1:8" ht="16.5">
      <c r="A1542" s="3">
        <f>IF(F1542="","",COUNTA($F$1249:F1542))</f>
        <v>272</v>
      </c>
      <c r="B1542" s="25" t="s">
        <v>1981</v>
      </c>
      <c r="C1542" s="57" t="s">
        <v>1944</v>
      </c>
      <c r="D1542" s="247"/>
      <c r="E1542" s="13">
        <v>137900</v>
      </c>
      <c r="F1542" s="13">
        <v>137900</v>
      </c>
      <c r="G1542" s="125">
        <f t="shared" si="44"/>
        <v>0</v>
      </c>
      <c r="H1542" s="247"/>
    </row>
    <row r="1543" spans="1:8" ht="16.5">
      <c r="A1543" s="3">
        <f>IF(F1543="","",COUNTA($F$1249:F1543))</f>
        <v>273</v>
      </c>
      <c r="B1543" s="25" t="s">
        <v>1982</v>
      </c>
      <c r="C1543" s="57" t="s">
        <v>1944</v>
      </c>
      <c r="D1543" s="247"/>
      <c r="E1543" s="13">
        <v>241900</v>
      </c>
      <c r="F1543" s="13">
        <v>241900</v>
      </c>
      <c r="G1543" s="125">
        <f t="shared" si="44"/>
        <v>0</v>
      </c>
      <c r="H1543" s="247"/>
    </row>
    <row r="1544" spans="1:8" ht="16.5">
      <c r="A1544" s="3">
        <f>IF(F1544="","",COUNTA($F$1249:F1544))</f>
        <v>274</v>
      </c>
      <c r="B1544" s="25" t="s">
        <v>1983</v>
      </c>
      <c r="C1544" s="57" t="s">
        <v>1944</v>
      </c>
      <c r="D1544" s="247"/>
      <c r="E1544" s="13">
        <v>8500</v>
      </c>
      <c r="F1544" s="13">
        <v>8500</v>
      </c>
      <c r="G1544" s="125">
        <f t="shared" si="44"/>
        <v>0</v>
      </c>
      <c r="H1544" s="247"/>
    </row>
    <row r="1545" spans="1:8" ht="16.5">
      <c r="A1545" s="3">
        <f>IF(F1545="","",COUNTA($F$1249:F1545))</f>
        <v>275</v>
      </c>
      <c r="B1545" s="25" t="s">
        <v>1984</v>
      </c>
      <c r="C1545" s="57" t="s">
        <v>1944</v>
      </c>
      <c r="D1545" s="247"/>
      <c r="E1545" s="13">
        <v>14500</v>
      </c>
      <c r="F1545" s="13">
        <v>14500</v>
      </c>
      <c r="G1545" s="125">
        <f t="shared" si="44"/>
        <v>0</v>
      </c>
      <c r="H1545" s="247"/>
    </row>
    <row r="1546" spans="1:8" ht="16.5">
      <c r="A1546" s="3">
        <f>IF(F1546="","",COUNTA($F$1249:F1546))</f>
        <v>276</v>
      </c>
      <c r="B1546" s="25" t="s">
        <v>1985</v>
      </c>
      <c r="C1546" s="57" t="s">
        <v>1944</v>
      </c>
      <c r="D1546" s="247"/>
      <c r="E1546" s="13">
        <v>21700</v>
      </c>
      <c r="F1546" s="13">
        <v>21700</v>
      </c>
      <c r="G1546" s="125">
        <f t="shared" si="44"/>
        <v>0</v>
      </c>
      <c r="H1546" s="247"/>
    </row>
    <row r="1547" spans="1:8" ht="16.5">
      <c r="A1547" s="3">
        <f>IF(F1547="","",COUNTA($F$1249:F1547))</f>
        <v>277</v>
      </c>
      <c r="B1547" s="25" t="s">
        <v>1986</v>
      </c>
      <c r="C1547" s="57" t="s">
        <v>1944</v>
      </c>
      <c r="D1547" s="247"/>
      <c r="E1547" s="13">
        <v>27200</v>
      </c>
      <c r="F1547" s="13">
        <v>27200</v>
      </c>
      <c r="G1547" s="125">
        <f t="shared" si="44"/>
        <v>0</v>
      </c>
      <c r="H1547" s="247"/>
    </row>
    <row r="1548" spans="1:8" ht="16.5">
      <c r="A1548" s="3">
        <f>IF(F1548="","",COUNTA($F$1249:F1548))</f>
        <v>278</v>
      </c>
      <c r="B1548" s="25" t="s">
        <v>1987</v>
      </c>
      <c r="C1548" s="57" t="s">
        <v>1944</v>
      </c>
      <c r="D1548" s="247"/>
      <c r="E1548" s="13">
        <v>44600</v>
      </c>
      <c r="F1548" s="13">
        <v>44600</v>
      </c>
      <c r="G1548" s="125">
        <f t="shared" si="44"/>
        <v>0</v>
      </c>
      <c r="H1548" s="247"/>
    </row>
    <row r="1549" spans="1:8" ht="16.5">
      <c r="A1549" s="3">
        <f>IF(F1549="","",COUNTA($F$1249:F1549))</f>
        <v>279</v>
      </c>
      <c r="B1549" s="25" t="s">
        <v>1988</v>
      </c>
      <c r="C1549" s="57" t="s">
        <v>1944</v>
      </c>
      <c r="D1549" s="247"/>
      <c r="E1549" s="13">
        <v>93200</v>
      </c>
      <c r="F1549" s="13">
        <v>93200</v>
      </c>
      <c r="G1549" s="125">
        <f t="shared" si="44"/>
        <v>0</v>
      </c>
      <c r="H1549" s="247"/>
    </row>
    <row r="1550" spans="1:8" ht="16.5">
      <c r="A1550" s="3">
        <f>IF(F1550="","",COUNTA($F$1249:F1550))</f>
        <v>280</v>
      </c>
      <c r="B1550" s="25" t="s">
        <v>1989</v>
      </c>
      <c r="C1550" s="57" t="s">
        <v>1944</v>
      </c>
      <c r="D1550" s="247"/>
      <c r="E1550" s="13">
        <v>105500</v>
      </c>
      <c r="F1550" s="13">
        <v>105500</v>
      </c>
      <c r="G1550" s="125">
        <f t="shared" si="44"/>
        <v>0</v>
      </c>
      <c r="H1550" s="247"/>
    </row>
    <row r="1551" spans="1:8" ht="16.5">
      <c r="A1551" s="3">
        <f>IF(F1551="","",COUNTA($F$1249:F1551))</f>
        <v>281</v>
      </c>
      <c r="B1551" s="25" t="s">
        <v>1990</v>
      </c>
      <c r="C1551" s="57" t="s">
        <v>1944</v>
      </c>
      <c r="D1551" s="247"/>
      <c r="E1551" s="13">
        <v>174600</v>
      </c>
      <c r="F1551" s="13">
        <v>174600</v>
      </c>
      <c r="G1551" s="125">
        <f t="shared" si="44"/>
        <v>0</v>
      </c>
      <c r="H1551" s="247"/>
    </row>
    <row r="1552" spans="1:8" ht="16.5">
      <c r="A1552" s="3">
        <f>IF(F1552="","",COUNTA($F$1249:F1552))</f>
        <v>282</v>
      </c>
      <c r="B1552" s="25" t="s">
        <v>1991</v>
      </c>
      <c r="C1552" s="57" t="s">
        <v>1944</v>
      </c>
      <c r="D1552" s="247"/>
      <c r="E1552" s="13">
        <v>6100</v>
      </c>
      <c r="F1552" s="13">
        <v>6100</v>
      </c>
      <c r="G1552" s="125">
        <f t="shared" si="44"/>
        <v>0</v>
      </c>
      <c r="H1552" s="247"/>
    </row>
    <row r="1553" spans="1:8" ht="16.5">
      <c r="A1553" s="3">
        <f>IF(F1553="","",COUNTA($F$1249:F1553))</f>
        <v>283</v>
      </c>
      <c r="B1553" s="25" t="s">
        <v>1992</v>
      </c>
      <c r="C1553" s="57" t="s">
        <v>1944</v>
      </c>
      <c r="D1553" s="247"/>
      <c r="E1553" s="13">
        <v>8500</v>
      </c>
      <c r="F1553" s="13">
        <v>8500</v>
      </c>
      <c r="G1553" s="125">
        <f t="shared" si="44"/>
        <v>0</v>
      </c>
      <c r="H1553" s="247"/>
    </row>
    <row r="1554" spans="1:8" ht="16.5">
      <c r="A1554" s="3">
        <f>IF(F1554="","",COUNTA($F$1249:F1554))</f>
        <v>284</v>
      </c>
      <c r="B1554" s="25" t="s">
        <v>1993</v>
      </c>
      <c r="C1554" s="57" t="s">
        <v>1944</v>
      </c>
      <c r="D1554" s="247"/>
      <c r="E1554" s="13">
        <v>14500</v>
      </c>
      <c r="F1554" s="13">
        <v>14500</v>
      </c>
      <c r="G1554" s="125">
        <f t="shared" si="44"/>
        <v>0</v>
      </c>
      <c r="H1554" s="247"/>
    </row>
    <row r="1555" spans="1:8" ht="16.5">
      <c r="A1555" s="3">
        <f>IF(F1555="","",COUNTA($F$1249:F1555))</f>
        <v>285</v>
      </c>
      <c r="B1555" s="25" t="s">
        <v>1994</v>
      </c>
      <c r="C1555" s="57" t="s">
        <v>1944</v>
      </c>
      <c r="D1555" s="247"/>
      <c r="E1555" s="13">
        <v>21700</v>
      </c>
      <c r="F1555" s="13">
        <v>21700</v>
      </c>
      <c r="G1555" s="125">
        <f t="shared" si="44"/>
        <v>0</v>
      </c>
      <c r="H1555" s="247"/>
    </row>
    <row r="1556" spans="1:8" ht="16.5">
      <c r="A1556" s="3">
        <f>IF(F1556="","",COUNTA($F$1249:F1556))</f>
        <v>286</v>
      </c>
      <c r="B1556" s="25" t="s">
        <v>1995</v>
      </c>
      <c r="C1556" s="57" t="s">
        <v>1944</v>
      </c>
      <c r="D1556" s="247"/>
      <c r="E1556" s="13">
        <v>27200</v>
      </c>
      <c r="F1556" s="13">
        <v>27200</v>
      </c>
      <c r="G1556" s="125">
        <f t="shared" si="44"/>
        <v>0</v>
      </c>
      <c r="H1556" s="247"/>
    </row>
    <row r="1557" spans="1:8" ht="16.5">
      <c r="A1557" s="3">
        <f>IF(F1557="","",COUNTA($F$1249:F1557))</f>
        <v>287</v>
      </c>
      <c r="B1557" s="25" t="s">
        <v>1996</v>
      </c>
      <c r="C1557" s="57" t="s">
        <v>1944</v>
      </c>
      <c r="D1557" s="247"/>
      <c r="E1557" s="13">
        <v>44300</v>
      </c>
      <c r="F1557" s="13">
        <v>44300</v>
      </c>
      <c r="G1557" s="125">
        <f t="shared" si="44"/>
        <v>0</v>
      </c>
      <c r="H1557" s="247"/>
    </row>
    <row r="1558" spans="1:8" ht="16.5">
      <c r="A1558" s="3">
        <f>IF(F1558="","",COUNTA($F$1249:F1558))</f>
        <v>288</v>
      </c>
      <c r="B1558" s="25" t="s">
        <v>1997</v>
      </c>
      <c r="C1558" s="57" t="s">
        <v>1944</v>
      </c>
      <c r="D1558" s="247"/>
      <c r="E1558" s="13">
        <v>73100</v>
      </c>
      <c r="F1558" s="13">
        <v>73100</v>
      </c>
      <c r="G1558" s="125">
        <f t="shared" si="44"/>
        <v>0</v>
      </c>
      <c r="H1558" s="247"/>
    </row>
    <row r="1559" spans="1:8" ht="16.5">
      <c r="A1559" s="3">
        <f>IF(F1559="","",COUNTA($F$1249:F1559))</f>
        <v>289</v>
      </c>
      <c r="B1559" s="25" t="s">
        <v>1998</v>
      </c>
      <c r="C1559" s="57" t="s">
        <v>1944</v>
      </c>
      <c r="D1559" s="247"/>
      <c r="E1559" s="13">
        <v>96600</v>
      </c>
      <c r="F1559" s="13">
        <v>96600</v>
      </c>
      <c r="G1559" s="125">
        <f t="shared" si="44"/>
        <v>0</v>
      </c>
      <c r="H1559" s="247"/>
    </row>
    <row r="1560" spans="1:8" ht="16.5">
      <c r="A1560" s="3">
        <f>IF(F1560="","",COUNTA($F$1249:F1560))</f>
        <v>290</v>
      </c>
      <c r="B1560" s="25" t="s">
        <v>1999</v>
      </c>
      <c r="C1560" s="57" t="s">
        <v>1944</v>
      </c>
      <c r="D1560" s="247"/>
      <c r="E1560" s="13">
        <v>165500</v>
      </c>
      <c r="F1560" s="13">
        <v>165500</v>
      </c>
      <c r="G1560" s="125">
        <f t="shared" si="44"/>
        <v>0</v>
      </c>
      <c r="H1560" s="247"/>
    </row>
    <row r="1561" spans="1:8" ht="16.5">
      <c r="A1561" s="3">
        <f>IF(F1561="","",COUNTA($F$1249:F1561))</f>
        <v>291</v>
      </c>
      <c r="B1561" s="25" t="s">
        <v>2000</v>
      </c>
      <c r="C1561" s="57" t="s">
        <v>1944</v>
      </c>
      <c r="D1561" s="247"/>
      <c r="E1561" s="13">
        <v>6400</v>
      </c>
      <c r="F1561" s="13">
        <v>6400</v>
      </c>
      <c r="G1561" s="125">
        <f t="shared" si="44"/>
        <v>0</v>
      </c>
      <c r="H1561" s="247"/>
    </row>
    <row r="1562" spans="1:8" ht="16.5">
      <c r="A1562" s="3">
        <f>IF(F1562="","",COUNTA($F$1249:F1562))</f>
        <v>292</v>
      </c>
      <c r="B1562" s="25" t="s">
        <v>2001</v>
      </c>
      <c r="C1562" s="57" t="s">
        <v>1944</v>
      </c>
      <c r="D1562" s="247"/>
      <c r="E1562" s="13">
        <v>8400</v>
      </c>
      <c r="F1562" s="13">
        <v>8400</v>
      </c>
      <c r="G1562" s="125">
        <f t="shared" si="44"/>
        <v>0</v>
      </c>
      <c r="H1562" s="247"/>
    </row>
    <row r="1563" spans="1:8" ht="16.5">
      <c r="A1563" s="3">
        <f>IF(F1563="","",COUNTA($F$1249:F1563))</f>
        <v>293</v>
      </c>
      <c r="B1563" s="25" t="s">
        <v>2002</v>
      </c>
      <c r="C1563" s="57" t="s">
        <v>1944</v>
      </c>
      <c r="D1563" s="247"/>
      <c r="E1563" s="13">
        <v>14500</v>
      </c>
      <c r="F1563" s="13">
        <v>14500</v>
      </c>
      <c r="G1563" s="125">
        <f t="shared" si="44"/>
        <v>0</v>
      </c>
      <c r="H1563" s="247"/>
    </row>
    <row r="1564" spans="1:8" ht="16.5">
      <c r="A1564" s="3">
        <f>IF(F1564="","",COUNTA($F$1249:F1564))</f>
        <v>294</v>
      </c>
      <c r="B1564" s="25" t="s">
        <v>2003</v>
      </c>
      <c r="C1564" s="57" t="s">
        <v>1944</v>
      </c>
      <c r="D1564" s="247"/>
      <c r="E1564" s="13">
        <v>21500</v>
      </c>
      <c r="F1564" s="13">
        <v>21500</v>
      </c>
      <c r="G1564" s="125">
        <f t="shared" si="44"/>
        <v>0</v>
      </c>
      <c r="H1564" s="247"/>
    </row>
    <row r="1565" spans="1:8" ht="16.5">
      <c r="A1565" s="3">
        <f>IF(F1565="","",COUNTA($F$1249:F1565))</f>
        <v>295</v>
      </c>
      <c r="B1565" s="25" t="s">
        <v>2004</v>
      </c>
      <c r="C1565" s="57" t="s">
        <v>1944</v>
      </c>
      <c r="D1565" s="247"/>
      <c r="E1565" s="13">
        <v>27000</v>
      </c>
      <c r="F1565" s="13">
        <v>27000</v>
      </c>
      <c r="G1565" s="125">
        <f t="shared" si="44"/>
        <v>0</v>
      </c>
      <c r="H1565" s="247"/>
    </row>
    <row r="1566" spans="1:8" ht="16.5">
      <c r="A1566" s="3">
        <f>IF(F1566="","",COUNTA($F$1249:F1566))</f>
        <v>296</v>
      </c>
      <c r="B1566" s="25" t="s">
        <v>2005</v>
      </c>
      <c r="C1566" s="57" t="s">
        <v>1944</v>
      </c>
      <c r="D1566" s="247"/>
      <c r="E1566" s="13">
        <v>44300</v>
      </c>
      <c r="F1566" s="13">
        <v>44300</v>
      </c>
      <c r="G1566" s="125">
        <f t="shared" si="44"/>
        <v>0</v>
      </c>
      <c r="H1566" s="247"/>
    </row>
    <row r="1567" spans="1:8" ht="16.5">
      <c r="A1567" s="3">
        <f>IF(F1567="","",COUNTA($F$1249:F1567))</f>
        <v>297</v>
      </c>
      <c r="B1567" s="25" t="s">
        <v>2006</v>
      </c>
      <c r="C1567" s="57" t="s">
        <v>1944</v>
      </c>
      <c r="D1567" s="247"/>
      <c r="E1567" s="13">
        <v>73100</v>
      </c>
      <c r="F1567" s="13">
        <v>73100</v>
      </c>
      <c r="G1567" s="125">
        <f t="shared" si="44"/>
        <v>0</v>
      </c>
      <c r="H1567" s="247"/>
    </row>
    <row r="1568" spans="1:8" ht="16.5">
      <c r="A1568" s="3">
        <f>IF(F1568="","",COUNTA($F$1249:F1568))</f>
        <v>298</v>
      </c>
      <c r="B1568" s="25" t="s">
        <v>2007</v>
      </c>
      <c r="C1568" s="57" t="s">
        <v>1944</v>
      </c>
      <c r="D1568" s="247"/>
      <c r="E1568" s="13">
        <v>98500</v>
      </c>
      <c r="F1568" s="13">
        <v>98500</v>
      </c>
      <c r="G1568" s="125">
        <f t="shared" si="44"/>
        <v>0</v>
      </c>
      <c r="H1568" s="247"/>
    </row>
    <row r="1569" spans="1:8" ht="16.5">
      <c r="A1569" s="3">
        <f>IF(F1569="","",COUNTA($F$1249:F1569))</f>
        <v>299</v>
      </c>
      <c r="B1569" s="25" t="s">
        <v>2008</v>
      </c>
      <c r="C1569" s="57" t="s">
        <v>1944</v>
      </c>
      <c r="D1569" s="247"/>
      <c r="E1569" s="13">
        <v>168700</v>
      </c>
      <c r="F1569" s="13">
        <v>168700</v>
      </c>
      <c r="G1569" s="125">
        <f t="shared" si="44"/>
        <v>0</v>
      </c>
      <c r="H1569" s="247"/>
    </row>
    <row r="1570" spans="1:8" ht="16.5">
      <c r="A1570" s="3">
        <f>IF(F1570="","",COUNTA($F$1249:F1570))</f>
        <v>300</v>
      </c>
      <c r="B1570" s="25" t="s">
        <v>2009</v>
      </c>
      <c r="C1570" s="57" t="s">
        <v>1944</v>
      </c>
      <c r="D1570" s="247"/>
      <c r="E1570" s="13">
        <v>8200</v>
      </c>
      <c r="F1570" s="13">
        <v>8200</v>
      </c>
      <c r="G1570" s="125">
        <f t="shared" si="44"/>
        <v>0</v>
      </c>
      <c r="H1570" s="247"/>
    </row>
    <row r="1571" spans="1:8" ht="16.5">
      <c r="A1571" s="3">
        <f>IF(F1571="","",COUNTA($F$1249:F1571))</f>
        <v>301</v>
      </c>
      <c r="B1571" s="25" t="s">
        <v>2010</v>
      </c>
      <c r="C1571" s="57" t="s">
        <v>1944</v>
      </c>
      <c r="D1571" s="247"/>
      <c r="E1571" s="13">
        <v>8300</v>
      </c>
      <c r="F1571" s="13">
        <v>8300</v>
      </c>
      <c r="G1571" s="125">
        <f t="shared" si="44"/>
        <v>0</v>
      </c>
      <c r="H1571" s="247"/>
    </row>
    <row r="1572" spans="1:8" ht="16.5">
      <c r="A1572" s="3">
        <f>IF(F1572="","",COUNTA($F$1249:F1572))</f>
        <v>302</v>
      </c>
      <c r="B1572" s="25" t="s">
        <v>2011</v>
      </c>
      <c r="C1572" s="57" t="s">
        <v>1944</v>
      </c>
      <c r="D1572" s="247"/>
      <c r="E1572" s="13">
        <v>14000</v>
      </c>
      <c r="F1572" s="13">
        <v>14000</v>
      </c>
      <c r="G1572" s="125">
        <f t="shared" si="44"/>
        <v>0</v>
      </c>
      <c r="H1572" s="247"/>
    </row>
    <row r="1573" spans="1:8" ht="16.5">
      <c r="A1573" s="3">
        <f>IF(F1573="","",COUNTA($F$1249:F1573))</f>
        <v>303</v>
      </c>
      <c r="B1573" s="25" t="s">
        <v>2012</v>
      </c>
      <c r="C1573" s="57" t="s">
        <v>1944</v>
      </c>
      <c r="D1573" s="247"/>
      <c r="E1573" s="13">
        <v>21700</v>
      </c>
      <c r="F1573" s="13">
        <v>21700</v>
      </c>
      <c r="G1573" s="125">
        <f t="shared" si="44"/>
        <v>0</v>
      </c>
      <c r="H1573" s="247"/>
    </row>
    <row r="1574" spans="1:8" ht="16.5">
      <c r="A1574" s="3">
        <f>IF(F1574="","",COUNTA($F$1249:F1574))</f>
        <v>304</v>
      </c>
      <c r="B1574" s="25" t="s">
        <v>2013</v>
      </c>
      <c r="C1574" s="57" t="s">
        <v>1944</v>
      </c>
      <c r="D1574" s="247"/>
      <c r="E1574" s="13">
        <v>24800</v>
      </c>
      <c r="F1574" s="13">
        <v>24800</v>
      </c>
      <c r="G1574" s="125">
        <f t="shared" si="44"/>
        <v>0</v>
      </c>
      <c r="H1574" s="247"/>
    </row>
    <row r="1575" spans="1:8" ht="16.5">
      <c r="A1575" s="3">
        <f>IF(F1575="","",COUNTA($F$1249:F1575))</f>
        <v>305</v>
      </c>
      <c r="B1575" s="25" t="s">
        <v>2014</v>
      </c>
      <c r="C1575" s="57" t="s">
        <v>1944</v>
      </c>
      <c r="D1575" s="247"/>
      <c r="E1575" s="13">
        <v>44300</v>
      </c>
      <c r="F1575" s="13">
        <v>44300</v>
      </c>
      <c r="G1575" s="125">
        <f t="shared" si="44"/>
        <v>0</v>
      </c>
      <c r="H1575" s="247"/>
    </row>
    <row r="1576" spans="1:8" ht="16.5">
      <c r="A1576" s="3">
        <f>IF(F1576="","",COUNTA($F$1249:F1576))</f>
        <v>306</v>
      </c>
      <c r="B1576" s="25" t="s">
        <v>2015</v>
      </c>
      <c r="C1576" s="57" t="s">
        <v>1944</v>
      </c>
      <c r="D1576" s="247"/>
      <c r="E1576" s="13">
        <v>76800</v>
      </c>
      <c r="F1576" s="13">
        <v>76800</v>
      </c>
      <c r="G1576" s="125">
        <f t="shared" si="44"/>
        <v>0</v>
      </c>
      <c r="H1576" s="247"/>
    </row>
    <row r="1577" spans="1:8" ht="16.5">
      <c r="A1577" s="3">
        <f>IF(F1577="","",COUNTA($F$1249:F1577))</f>
        <v>307</v>
      </c>
      <c r="B1577" s="25" t="s">
        <v>2016</v>
      </c>
      <c r="C1577" s="57" t="s">
        <v>1944</v>
      </c>
      <c r="D1577" s="247"/>
      <c r="E1577" s="13">
        <v>105000</v>
      </c>
      <c r="F1577" s="13">
        <v>105000</v>
      </c>
      <c r="G1577" s="125">
        <f t="shared" si="44"/>
        <v>0</v>
      </c>
      <c r="H1577" s="247"/>
    </row>
    <row r="1578" spans="1:8" ht="16.5">
      <c r="A1578" s="3">
        <f>IF(F1578="","",COUNTA($F$1249:F1578))</f>
        <v>308</v>
      </c>
      <c r="B1578" s="25" t="s">
        <v>2017</v>
      </c>
      <c r="C1578" s="57" t="s">
        <v>1944</v>
      </c>
      <c r="D1578" s="247"/>
      <c r="E1578" s="13">
        <v>193200</v>
      </c>
      <c r="F1578" s="13">
        <v>193200</v>
      </c>
      <c r="G1578" s="125">
        <f t="shared" si="44"/>
        <v>0</v>
      </c>
      <c r="H1578" s="247"/>
    </row>
    <row r="1579" spans="1:8" ht="16.5">
      <c r="A1579" s="3">
        <f>IF(F1579="","",COUNTA($F$1249:F1579))</f>
        <v>309</v>
      </c>
      <c r="B1579" s="25" t="s">
        <v>2018</v>
      </c>
      <c r="C1579" s="57" t="s">
        <v>1944</v>
      </c>
      <c r="D1579" s="247"/>
      <c r="E1579" s="13">
        <v>21700</v>
      </c>
      <c r="F1579" s="13">
        <v>21700</v>
      </c>
      <c r="G1579" s="125">
        <f t="shared" si="44"/>
        <v>0</v>
      </c>
      <c r="H1579" s="247"/>
    </row>
    <row r="1580" spans="1:8" ht="16.5">
      <c r="A1580" s="3">
        <f>IF(F1580="","",COUNTA($F$1249:F1580))</f>
        <v>310</v>
      </c>
      <c r="B1580" s="25" t="s">
        <v>2019</v>
      </c>
      <c r="C1580" s="57" t="s">
        <v>1944</v>
      </c>
      <c r="D1580" s="247"/>
      <c r="E1580" s="13">
        <v>27800</v>
      </c>
      <c r="F1580" s="13">
        <v>27800</v>
      </c>
      <c r="G1580" s="125">
        <f t="shared" si="44"/>
        <v>0</v>
      </c>
      <c r="H1580" s="247"/>
    </row>
    <row r="1581" spans="1:8" ht="16.5">
      <c r="A1581" s="3">
        <f>IF(F1581="","",COUNTA($F$1249:F1581))</f>
        <v>311</v>
      </c>
      <c r="B1581" s="25" t="s">
        <v>2020</v>
      </c>
      <c r="C1581" s="57" t="s">
        <v>1944</v>
      </c>
      <c r="D1581" s="247"/>
      <c r="E1581" s="13">
        <v>44800</v>
      </c>
      <c r="F1581" s="13">
        <v>44800</v>
      </c>
      <c r="G1581" s="125">
        <f t="shared" si="44"/>
        <v>0</v>
      </c>
      <c r="H1581" s="247"/>
    </row>
    <row r="1582" spans="1:8" ht="16.5">
      <c r="A1582" s="3">
        <f>IF(F1582="","",COUNTA($F$1249:F1582))</f>
        <v>312</v>
      </c>
      <c r="B1582" s="25" t="s">
        <v>2021</v>
      </c>
      <c r="C1582" s="57" t="s">
        <v>1944</v>
      </c>
      <c r="D1582" s="247"/>
      <c r="E1582" s="13">
        <v>63700</v>
      </c>
      <c r="F1582" s="13">
        <v>63700</v>
      </c>
      <c r="G1582" s="125">
        <f t="shared" si="44"/>
        <v>0</v>
      </c>
      <c r="H1582" s="247"/>
    </row>
    <row r="1583" spans="1:8" ht="16.5">
      <c r="A1583" s="3">
        <f>IF(F1583="","",COUNTA($F$1249:F1583))</f>
        <v>313</v>
      </c>
      <c r="B1583" s="25" t="s">
        <v>2022</v>
      </c>
      <c r="C1583" s="57" t="s">
        <v>1944</v>
      </c>
      <c r="D1583" s="247"/>
      <c r="E1583" s="13">
        <v>87000</v>
      </c>
      <c r="F1583" s="13">
        <v>87000</v>
      </c>
      <c r="G1583" s="125">
        <f t="shared" si="44"/>
        <v>0</v>
      </c>
      <c r="H1583" s="247"/>
    </row>
    <row r="1584" spans="1:8" ht="16.5">
      <c r="A1584" s="3">
        <f>IF(F1584="","",COUNTA($F$1249:F1584))</f>
        <v>314</v>
      </c>
      <c r="B1584" s="25" t="s">
        <v>2023</v>
      </c>
      <c r="C1584" s="57" t="s">
        <v>1944</v>
      </c>
      <c r="D1584" s="247"/>
      <c r="E1584" s="13">
        <v>120000</v>
      </c>
      <c r="F1584" s="13">
        <v>120000</v>
      </c>
      <c r="G1584" s="125">
        <f t="shared" si="44"/>
        <v>0</v>
      </c>
      <c r="H1584" s="247"/>
    </row>
    <row r="1585" spans="1:8" ht="16.5">
      <c r="A1585" s="3">
        <f>IF(F1585="","",COUNTA($F$1249:F1585))</f>
        <v>315</v>
      </c>
      <c r="B1585" s="25" t="s">
        <v>2024</v>
      </c>
      <c r="C1585" s="57" t="s">
        <v>1944</v>
      </c>
      <c r="D1585" s="247"/>
      <c r="E1585" s="13">
        <v>210000</v>
      </c>
      <c r="F1585" s="13">
        <v>210000</v>
      </c>
      <c r="G1585" s="125">
        <f t="shared" si="44"/>
        <v>0</v>
      </c>
      <c r="H1585" s="247"/>
    </row>
    <row r="1586" spans="1:8" ht="16.5">
      <c r="A1586" s="3">
        <f>IF(F1586="","",COUNTA($F$1249:F1586))</f>
        <v>316</v>
      </c>
      <c r="B1586" s="25" t="s">
        <v>2025</v>
      </c>
      <c r="C1586" s="57" t="s">
        <v>1944</v>
      </c>
      <c r="D1586" s="247"/>
      <c r="E1586" s="13">
        <v>295900</v>
      </c>
      <c r="F1586" s="13">
        <v>295900</v>
      </c>
      <c r="G1586" s="125">
        <f t="shared" si="44"/>
        <v>0</v>
      </c>
      <c r="H1586" s="247"/>
    </row>
    <row r="1587" spans="1:8" ht="16.5">
      <c r="A1587" s="3">
        <f>IF(F1587="","",COUNTA($F$1249:F1587))</f>
        <v>317</v>
      </c>
      <c r="B1587" s="25" t="s">
        <v>2026</v>
      </c>
      <c r="C1587" s="57" t="s">
        <v>1944</v>
      </c>
      <c r="D1587" s="247"/>
      <c r="E1587" s="13">
        <v>490800</v>
      </c>
      <c r="F1587" s="13">
        <v>490800</v>
      </c>
      <c r="G1587" s="125">
        <f t="shared" si="44"/>
        <v>0</v>
      </c>
      <c r="H1587" s="247"/>
    </row>
    <row r="1588" spans="1:8" ht="16.5">
      <c r="A1588" s="3">
        <f>IF(F1588="","",COUNTA($F$1249:F1588))</f>
        <v>318</v>
      </c>
      <c r="B1588" s="25" t="s">
        <v>2027</v>
      </c>
      <c r="C1588" s="57" t="s">
        <v>1944</v>
      </c>
      <c r="D1588" s="247"/>
      <c r="E1588" s="13">
        <v>9200</v>
      </c>
      <c r="F1588" s="13">
        <v>9200</v>
      </c>
      <c r="G1588" s="125">
        <f t="shared" si="44"/>
        <v>0</v>
      </c>
      <c r="H1588" s="247"/>
    </row>
    <row r="1589" spans="1:8" ht="16.5">
      <c r="A1589" s="3">
        <f>IF(F1589="","",COUNTA($F$1249:F1589))</f>
        <v>319</v>
      </c>
      <c r="B1589" s="25" t="s">
        <v>2028</v>
      </c>
      <c r="C1589" s="57" t="s">
        <v>1944</v>
      </c>
      <c r="D1589" s="247"/>
      <c r="E1589" s="13">
        <v>14800</v>
      </c>
      <c r="F1589" s="13">
        <v>14800</v>
      </c>
      <c r="G1589" s="125">
        <f t="shared" si="44"/>
        <v>0</v>
      </c>
      <c r="H1589" s="247"/>
    </row>
    <row r="1590" spans="1:8" ht="16.5">
      <c r="A1590" s="3">
        <f>IF(F1590="","",COUNTA($F$1249:F1590))</f>
        <v>320</v>
      </c>
      <c r="B1590" s="25" t="s">
        <v>2029</v>
      </c>
      <c r="C1590" s="57" t="s">
        <v>1944</v>
      </c>
      <c r="D1590" s="247"/>
      <c r="E1590" s="13">
        <v>25200</v>
      </c>
      <c r="F1590" s="13">
        <v>25200</v>
      </c>
      <c r="G1590" s="125">
        <f t="shared" si="44"/>
        <v>0</v>
      </c>
      <c r="H1590" s="247"/>
    </row>
    <row r="1591" spans="1:8" ht="16.5">
      <c r="A1591" s="3">
        <f>IF(F1591="","",COUNTA($F$1249:F1591))</f>
        <v>321</v>
      </c>
      <c r="B1591" s="25" t="s">
        <v>2030</v>
      </c>
      <c r="C1591" s="57" t="s">
        <v>1944</v>
      </c>
      <c r="D1591" s="247"/>
      <c r="E1591" s="13">
        <v>38300</v>
      </c>
      <c r="F1591" s="13">
        <v>38300</v>
      </c>
      <c r="G1591" s="125">
        <f t="shared" si="44"/>
        <v>0</v>
      </c>
      <c r="H1591" s="247"/>
    </row>
    <row r="1592" spans="1:8" ht="16.5">
      <c r="A1592" s="3">
        <f>IF(F1592="","",COUNTA($F$1249:F1592))</f>
        <v>322</v>
      </c>
      <c r="B1592" s="25" t="s">
        <v>2031</v>
      </c>
      <c r="C1592" s="57" t="s">
        <v>1944</v>
      </c>
      <c r="D1592" s="247"/>
      <c r="E1592" s="13">
        <v>44900</v>
      </c>
      <c r="F1592" s="13">
        <v>44900</v>
      </c>
      <c r="G1592" s="125">
        <f t="shared" si="44"/>
        <v>0</v>
      </c>
      <c r="H1592" s="247"/>
    </row>
    <row r="1593" spans="1:8" ht="16.5">
      <c r="A1593" s="3">
        <f>IF(F1593="","",COUNTA($F$1249:F1593))</f>
        <v>323</v>
      </c>
      <c r="B1593" s="25" t="s">
        <v>2032</v>
      </c>
      <c r="C1593" s="57" t="s">
        <v>1944</v>
      </c>
      <c r="D1593" s="247"/>
      <c r="E1593" s="13">
        <v>73700</v>
      </c>
      <c r="F1593" s="13">
        <v>73700</v>
      </c>
      <c r="G1593" s="125">
        <f t="shared" si="44"/>
        <v>0</v>
      </c>
      <c r="H1593" s="247"/>
    </row>
    <row r="1594" spans="1:8" ht="16.5">
      <c r="A1594" s="3">
        <f>IF(F1594="","",COUNTA($F$1249:F1594))</f>
        <v>324</v>
      </c>
      <c r="B1594" s="25" t="s">
        <v>2033</v>
      </c>
      <c r="C1594" s="57" t="s">
        <v>1944</v>
      </c>
      <c r="D1594" s="247"/>
      <c r="E1594" s="13">
        <v>118800</v>
      </c>
      <c r="F1594" s="13">
        <v>118800</v>
      </c>
      <c r="G1594" s="125">
        <f t="shared" si="44"/>
        <v>0</v>
      </c>
      <c r="H1594" s="247"/>
    </row>
    <row r="1595" spans="1:8" ht="16.5">
      <c r="A1595" s="3">
        <f>IF(F1595="","",COUNTA($F$1249:F1595))</f>
        <v>325</v>
      </c>
      <c r="B1595" s="25" t="s">
        <v>2034</v>
      </c>
      <c r="C1595" s="57" t="s">
        <v>1944</v>
      </c>
      <c r="D1595" s="247"/>
      <c r="E1595" s="13">
        <v>172800</v>
      </c>
      <c r="F1595" s="13">
        <v>172800</v>
      </c>
      <c r="G1595" s="125">
        <f t="shared" si="44"/>
        <v>0</v>
      </c>
      <c r="H1595" s="247"/>
    </row>
    <row r="1596" spans="1:8" ht="16.5">
      <c r="A1596" s="3">
        <f>IF(F1596="","",COUNTA($F$1249:F1596))</f>
        <v>326</v>
      </c>
      <c r="B1596" s="25" t="s">
        <v>2035</v>
      </c>
      <c r="C1596" s="57" t="s">
        <v>1944</v>
      </c>
      <c r="D1596" s="247"/>
      <c r="E1596" s="13">
        <v>313200</v>
      </c>
      <c r="F1596" s="13">
        <v>313200</v>
      </c>
      <c r="G1596" s="125">
        <f t="shared" si="44"/>
        <v>0</v>
      </c>
      <c r="H1596" s="247"/>
    </row>
    <row r="1597" spans="1:8" ht="16.5">
      <c r="A1597" s="3">
        <f>IF(F1597="","",COUNTA($F$1249:F1597))</f>
        <v>327</v>
      </c>
      <c r="B1597" s="25" t="s">
        <v>2036</v>
      </c>
      <c r="C1597" s="57" t="s">
        <v>1944</v>
      </c>
      <c r="D1597" s="247"/>
      <c r="E1597" s="13">
        <v>16700</v>
      </c>
      <c r="F1597" s="13">
        <v>16700</v>
      </c>
      <c r="G1597" s="125">
        <f t="shared" si="44"/>
        <v>0</v>
      </c>
      <c r="H1597" s="247"/>
    </row>
    <row r="1598" spans="1:8" ht="16.5">
      <c r="A1598" s="3">
        <f>IF(F1598="","",COUNTA($F$1249:F1598))</f>
        <v>328</v>
      </c>
      <c r="B1598" s="25" t="s">
        <v>2037</v>
      </c>
      <c r="C1598" s="57" t="s">
        <v>1944</v>
      </c>
      <c r="D1598" s="247"/>
      <c r="E1598" s="13">
        <v>27200</v>
      </c>
      <c r="F1598" s="13">
        <v>27200</v>
      </c>
      <c r="G1598" s="125">
        <f t="shared" si="44"/>
        <v>0</v>
      </c>
      <c r="H1598" s="247"/>
    </row>
    <row r="1599" spans="1:8" ht="16.5">
      <c r="A1599" s="3">
        <f>IF(F1599="","",COUNTA($F$1249:F1599))</f>
        <v>329</v>
      </c>
      <c r="B1599" s="25" t="s">
        <v>2038</v>
      </c>
      <c r="C1599" s="57" t="s">
        <v>1944</v>
      </c>
      <c r="D1599" s="247"/>
      <c r="E1599" s="13">
        <v>44600</v>
      </c>
      <c r="F1599" s="13">
        <v>44600</v>
      </c>
      <c r="G1599" s="125">
        <f t="shared" si="44"/>
        <v>0</v>
      </c>
      <c r="H1599" s="247"/>
    </row>
    <row r="1600" spans="1:8" ht="16.5">
      <c r="A1600" s="3">
        <f>IF(F1600="","",COUNTA($F$1249:F1600))</f>
        <v>330</v>
      </c>
      <c r="B1600" s="25" t="s">
        <v>2039</v>
      </c>
      <c r="C1600" s="57" t="s">
        <v>1944</v>
      </c>
      <c r="D1600" s="247"/>
      <c r="E1600" s="13">
        <v>68000</v>
      </c>
      <c r="F1600" s="13">
        <v>68000</v>
      </c>
      <c r="G1600" s="125">
        <f t="shared" si="44"/>
        <v>0</v>
      </c>
      <c r="H1600" s="247"/>
    </row>
    <row r="1601" spans="1:8" ht="16.5">
      <c r="A1601" s="3">
        <f>IF(F1601="","",COUNTA($F$1249:F1601))</f>
        <v>331</v>
      </c>
      <c r="B1601" s="25" t="s">
        <v>2040</v>
      </c>
      <c r="C1601" s="57" t="s">
        <v>1944</v>
      </c>
      <c r="D1601" s="247"/>
      <c r="E1601" s="13">
        <v>84400</v>
      </c>
      <c r="F1601" s="13">
        <v>84400</v>
      </c>
      <c r="G1601" s="125">
        <f t="shared" si="44"/>
        <v>0</v>
      </c>
      <c r="H1601" s="247"/>
    </row>
    <row r="1602" spans="1:8" ht="16.5">
      <c r="A1602" s="3">
        <f>IF(F1602="","",COUNTA($F$1249:F1602))</f>
        <v>332</v>
      </c>
      <c r="B1602" s="25" t="s">
        <v>2041</v>
      </c>
      <c r="C1602" s="57" t="s">
        <v>1944</v>
      </c>
      <c r="D1602" s="247"/>
      <c r="E1602" s="13">
        <v>129600</v>
      </c>
      <c r="F1602" s="13">
        <v>129600</v>
      </c>
      <c r="G1602" s="125">
        <f aca="true" t="shared" si="45" ref="G1602:G1665">(E1602-F1602)/E1602</f>
        <v>0</v>
      </c>
      <c r="H1602" s="247"/>
    </row>
    <row r="1603" spans="1:8" ht="16.5">
      <c r="A1603" s="3">
        <f>IF(F1603="","",COUNTA($F$1249:F1603))</f>
        <v>333</v>
      </c>
      <c r="B1603" s="25" t="s">
        <v>2042</v>
      </c>
      <c r="C1603" s="57" t="s">
        <v>1944</v>
      </c>
      <c r="D1603" s="247"/>
      <c r="E1603" s="13">
        <v>237100</v>
      </c>
      <c r="F1603" s="13">
        <v>237100</v>
      </c>
      <c r="G1603" s="125">
        <f t="shared" si="45"/>
        <v>0</v>
      </c>
      <c r="H1603" s="247"/>
    </row>
    <row r="1604" spans="1:8" ht="16.5">
      <c r="A1604" s="3">
        <f>IF(F1604="","",COUNTA($F$1249:F1604))</f>
        <v>334</v>
      </c>
      <c r="B1604" s="25" t="s">
        <v>2043</v>
      </c>
      <c r="C1604" s="57" t="s">
        <v>1944</v>
      </c>
      <c r="D1604" s="247"/>
      <c r="E1604" s="13">
        <v>315600</v>
      </c>
      <c r="F1604" s="13">
        <v>315600</v>
      </c>
      <c r="G1604" s="125">
        <f t="shared" si="45"/>
        <v>0</v>
      </c>
      <c r="H1604" s="247"/>
    </row>
    <row r="1605" spans="1:8" ht="16.5">
      <c r="A1605" s="3">
        <f>IF(F1605="","",COUNTA($F$1249:F1605))</f>
        <v>335</v>
      </c>
      <c r="B1605" s="25" t="s">
        <v>426</v>
      </c>
      <c r="C1605" s="57" t="s">
        <v>1944</v>
      </c>
      <c r="D1605" s="247"/>
      <c r="E1605" s="13">
        <v>591600</v>
      </c>
      <c r="F1605" s="13">
        <v>591600</v>
      </c>
      <c r="G1605" s="125">
        <f t="shared" si="45"/>
        <v>0</v>
      </c>
      <c r="H1605" s="247"/>
    </row>
    <row r="1606" spans="1:8" ht="16.5">
      <c r="A1606" s="3">
        <f>IF(F1606="","",COUNTA($F$1249:F1606))</f>
      </c>
      <c r="B1606" s="37" t="s">
        <v>132</v>
      </c>
      <c r="C1606" s="57"/>
      <c r="E1606" s="13"/>
      <c r="F1606" s="13"/>
      <c r="G1606" s="125" t="e">
        <f t="shared" si="45"/>
        <v>#DIV/0!</v>
      </c>
      <c r="H1606" s="247"/>
    </row>
    <row r="1607" spans="1:8" ht="16.5">
      <c r="A1607" s="3">
        <f>IF(F1607="","",COUNTA($F$1249:F1607))</f>
        <v>336</v>
      </c>
      <c r="B1607" s="25" t="s">
        <v>2426</v>
      </c>
      <c r="C1607" s="57" t="s">
        <v>2792</v>
      </c>
      <c r="D1607" s="247" t="s">
        <v>133</v>
      </c>
      <c r="E1607" s="13">
        <v>39000</v>
      </c>
      <c r="F1607" s="13">
        <v>39000</v>
      </c>
      <c r="G1607" s="125">
        <f t="shared" si="45"/>
        <v>0</v>
      </c>
      <c r="H1607" s="247"/>
    </row>
    <row r="1608" spans="1:8" ht="16.5">
      <c r="A1608" s="3">
        <f>IF(F1608="","",COUNTA($F$1249:F1608))</f>
        <v>337</v>
      </c>
      <c r="B1608" s="25" t="s">
        <v>2427</v>
      </c>
      <c r="C1608" s="57" t="s">
        <v>2792</v>
      </c>
      <c r="D1608" s="247"/>
      <c r="E1608" s="13">
        <v>55000</v>
      </c>
      <c r="F1608" s="13">
        <v>55000</v>
      </c>
      <c r="G1608" s="125">
        <f t="shared" si="45"/>
        <v>0</v>
      </c>
      <c r="H1608" s="247"/>
    </row>
    <row r="1609" spans="1:8" ht="16.5">
      <c r="A1609" s="3">
        <f>IF(F1609="","",COUNTA($F$1249:F1609))</f>
        <v>338</v>
      </c>
      <c r="B1609" s="25" t="s">
        <v>2428</v>
      </c>
      <c r="C1609" s="57" t="s">
        <v>2792</v>
      </c>
      <c r="D1609" s="247"/>
      <c r="E1609" s="13">
        <v>76000</v>
      </c>
      <c r="F1609" s="13">
        <v>76000</v>
      </c>
      <c r="G1609" s="125">
        <f t="shared" si="45"/>
        <v>0</v>
      </c>
      <c r="H1609" s="247"/>
    </row>
    <row r="1610" spans="1:8" ht="16.5">
      <c r="A1610" s="3">
        <f>IF(F1610="","",COUNTA($F$1249:F1610))</f>
        <v>339</v>
      </c>
      <c r="B1610" s="25" t="s">
        <v>2429</v>
      </c>
      <c r="C1610" s="57" t="s">
        <v>2792</v>
      </c>
      <c r="D1610" s="247"/>
      <c r="E1610" s="13">
        <v>95000</v>
      </c>
      <c r="F1610" s="13">
        <v>95000</v>
      </c>
      <c r="G1610" s="125">
        <f t="shared" si="45"/>
        <v>0</v>
      </c>
      <c r="H1610" s="247"/>
    </row>
    <row r="1611" spans="1:8" ht="16.5">
      <c r="A1611" s="3">
        <f>IF(F1611="","",COUNTA($F$1249:F1611))</f>
        <v>340</v>
      </c>
      <c r="B1611" s="25" t="s">
        <v>2430</v>
      </c>
      <c r="C1611" s="57" t="s">
        <v>2792</v>
      </c>
      <c r="D1611" s="247"/>
      <c r="E1611" s="13">
        <v>120000</v>
      </c>
      <c r="F1611" s="13">
        <v>120000</v>
      </c>
      <c r="G1611" s="125">
        <f t="shared" si="45"/>
        <v>0</v>
      </c>
      <c r="H1611" s="247"/>
    </row>
    <row r="1612" spans="1:8" ht="16.5">
      <c r="A1612" s="3">
        <f>IF(F1612="","",COUNTA($F$1249:F1612))</f>
        <v>341</v>
      </c>
      <c r="B1612" s="25" t="s">
        <v>2431</v>
      </c>
      <c r="C1612" s="57" t="s">
        <v>2792</v>
      </c>
      <c r="D1612" s="247"/>
      <c r="E1612" s="13">
        <v>157000</v>
      </c>
      <c r="F1612" s="13">
        <v>157000</v>
      </c>
      <c r="G1612" s="125">
        <f t="shared" si="45"/>
        <v>0</v>
      </c>
      <c r="H1612" s="247"/>
    </row>
    <row r="1613" spans="1:8" ht="16.5">
      <c r="A1613" s="3">
        <f>IF(F1613="","",COUNTA($F$1249:F1613))</f>
        <v>342</v>
      </c>
      <c r="B1613" s="25" t="s">
        <v>2432</v>
      </c>
      <c r="C1613" s="57" t="s">
        <v>2792</v>
      </c>
      <c r="D1613" s="247"/>
      <c r="E1613" s="13">
        <v>221000</v>
      </c>
      <c r="F1613" s="13">
        <v>221000</v>
      </c>
      <c r="G1613" s="125">
        <f t="shared" si="45"/>
        <v>0</v>
      </c>
      <c r="H1613" s="247"/>
    </row>
    <row r="1614" spans="1:8" ht="16.5">
      <c r="A1614" s="3">
        <f>IF(F1614="","",COUNTA($F$1249:F1614))</f>
        <v>343</v>
      </c>
      <c r="B1614" s="25" t="s">
        <v>2433</v>
      </c>
      <c r="C1614" s="57" t="s">
        <v>2792</v>
      </c>
      <c r="D1614" s="247"/>
      <c r="E1614" s="13">
        <v>260000</v>
      </c>
      <c r="F1614" s="13">
        <v>260000</v>
      </c>
      <c r="G1614" s="125">
        <f t="shared" si="45"/>
        <v>0</v>
      </c>
      <c r="H1614" s="247"/>
    </row>
    <row r="1615" spans="1:8" ht="16.5">
      <c r="A1615" s="3">
        <f>IF(F1615="","",COUNTA($F$1249:F1615))</f>
        <v>344</v>
      </c>
      <c r="B1615" s="25" t="s">
        <v>2434</v>
      </c>
      <c r="C1615" s="57" t="s">
        <v>2792</v>
      </c>
      <c r="D1615" s="247"/>
      <c r="E1615" s="13">
        <v>371000</v>
      </c>
      <c r="F1615" s="13">
        <v>371000</v>
      </c>
      <c r="G1615" s="125">
        <f t="shared" si="45"/>
        <v>0</v>
      </c>
      <c r="H1615" s="247"/>
    </row>
    <row r="1616" spans="1:8" ht="16.5">
      <c r="A1616" s="3">
        <f>IF(F1616="","",COUNTA($F$1249:F1616))</f>
      </c>
      <c r="B1616" s="37" t="s">
        <v>134</v>
      </c>
      <c r="C1616" s="57"/>
      <c r="E1616" s="13"/>
      <c r="F1616" s="13"/>
      <c r="G1616" s="125" t="e">
        <f t="shared" si="45"/>
        <v>#DIV/0!</v>
      </c>
      <c r="H1616" s="247"/>
    </row>
    <row r="1617" spans="1:8" ht="16.5">
      <c r="A1617" s="3">
        <f>IF(F1617="","",COUNTA($F$1249:F1617))</f>
        <v>345</v>
      </c>
      <c r="B1617" s="25" t="s">
        <v>2435</v>
      </c>
      <c r="C1617" s="57" t="s">
        <v>2792</v>
      </c>
      <c r="D1617" s="247" t="s">
        <v>135</v>
      </c>
      <c r="E1617" s="13">
        <v>581000</v>
      </c>
      <c r="F1617" s="13">
        <v>581000</v>
      </c>
      <c r="G1617" s="125">
        <f t="shared" si="45"/>
        <v>0</v>
      </c>
      <c r="H1617" s="247"/>
    </row>
    <row r="1618" spans="1:8" ht="16.5">
      <c r="A1618" s="3">
        <f>IF(F1618="","",COUNTA($F$1249:F1618))</f>
        <v>346</v>
      </c>
      <c r="B1618" s="25" t="s">
        <v>2436</v>
      </c>
      <c r="C1618" s="57" t="s">
        <v>2792</v>
      </c>
      <c r="D1618" s="247"/>
      <c r="E1618" s="13">
        <v>694000</v>
      </c>
      <c r="F1618" s="13">
        <v>694000</v>
      </c>
      <c r="G1618" s="125">
        <f t="shared" si="45"/>
        <v>0</v>
      </c>
      <c r="H1618" s="247"/>
    </row>
    <row r="1619" spans="1:8" ht="16.5">
      <c r="A1619" s="3">
        <f>IF(F1619="","",COUNTA($F$1249:F1619))</f>
        <v>347</v>
      </c>
      <c r="B1619" s="25" t="s">
        <v>2437</v>
      </c>
      <c r="C1619" s="57" t="s">
        <v>2792</v>
      </c>
      <c r="D1619" s="247"/>
      <c r="E1619" s="13">
        <v>836000</v>
      </c>
      <c r="F1619" s="13">
        <v>836000</v>
      </c>
      <c r="G1619" s="125">
        <f t="shared" si="45"/>
        <v>0</v>
      </c>
      <c r="H1619" s="247"/>
    </row>
    <row r="1620" spans="1:8" ht="16.5">
      <c r="A1620" s="3">
        <f>IF(F1620="","",COUNTA($F$1249:F1620))</f>
        <v>348</v>
      </c>
      <c r="B1620" s="25" t="s">
        <v>2438</v>
      </c>
      <c r="C1620" s="57" t="s">
        <v>2792</v>
      </c>
      <c r="D1620" s="247"/>
      <c r="E1620" s="13">
        <v>900000</v>
      </c>
      <c r="F1620" s="13">
        <v>900000</v>
      </c>
      <c r="G1620" s="125">
        <f t="shared" si="45"/>
        <v>0</v>
      </c>
      <c r="H1620" s="247"/>
    </row>
    <row r="1621" spans="1:8" ht="16.5">
      <c r="A1621" s="3">
        <f>IF(F1621="","",COUNTA($F$1249:F1621))</f>
        <v>349</v>
      </c>
      <c r="B1621" s="25" t="s">
        <v>2439</v>
      </c>
      <c r="C1621" s="57" t="s">
        <v>2792</v>
      </c>
      <c r="D1621" s="247"/>
      <c r="E1621" s="13">
        <v>1095000</v>
      </c>
      <c r="F1621" s="13">
        <v>1095000</v>
      </c>
      <c r="G1621" s="125">
        <f t="shared" si="45"/>
        <v>0</v>
      </c>
      <c r="H1621" s="247"/>
    </row>
    <row r="1622" spans="1:8" ht="16.5">
      <c r="A1622" s="3">
        <f>IF(F1622="","",COUNTA($F$1249:F1622))</f>
        <v>350</v>
      </c>
      <c r="B1622" s="25" t="s">
        <v>2440</v>
      </c>
      <c r="C1622" s="57" t="s">
        <v>2792</v>
      </c>
      <c r="D1622" s="247"/>
      <c r="E1622" s="13">
        <v>1180000</v>
      </c>
      <c r="F1622" s="13">
        <v>1180000</v>
      </c>
      <c r="G1622" s="125">
        <f t="shared" si="45"/>
        <v>0</v>
      </c>
      <c r="H1622" s="247"/>
    </row>
    <row r="1623" spans="1:8" ht="16.5">
      <c r="A1623" s="3">
        <f>IF(F1623="","",COUNTA($F$1249:F1623))</f>
        <v>351</v>
      </c>
      <c r="B1623" s="25" t="s">
        <v>2441</v>
      </c>
      <c r="C1623" s="57" t="s">
        <v>2792</v>
      </c>
      <c r="D1623" s="247"/>
      <c r="E1623" s="13">
        <v>1270000</v>
      </c>
      <c r="F1623" s="13">
        <v>1270000</v>
      </c>
      <c r="G1623" s="125">
        <f t="shared" si="45"/>
        <v>0</v>
      </c>
      <c r="H1623" s="247"/>
    </row>
    <row r="1624" spans="1:8" ht="33">
      <c r="A1624" s="3">
        <f>IF(F1624="","",COUNTA($F$1249:F1624))</f>
      </c>
      <c r="B1624" s="37" t="s">
        <v>136</v>
      </c>
      <c r="C1624" s="57"/>
      <c r="E1624" s="13"/>
      <c r="F1624" s="13"/>
      <c r="G1624" s="125" t="e">
        <f t="shared" si="45"/>
        <v>#DIV/0!</v>
      </c>
      <c r="H1624" s="247"/>
    </row>
    <row r="1625" spans="1:8" ht="16.5">
      <c r="A1625" s="3">
        <f>IF(F1625="","",COUNTA($F$1249:F1625))</f>
        <v>352</v>
      </c>
      <c r="B1625" s="25" t="s">
        <v>2442</v>
      </c>
      <c r="C1625" s="57" t="s">
        <v>2792</v>
      </c>
      <c r="D1625" s="247" t="s">
        <v>137</v>
      </c>
      <c r="E1625" s="13">
        <v>1618000</v>
      </c>
      <c r="F1625" s="13">
        <v>1618000</v>
      </c>
      <c r="G1625" s="125">
        <f t="shared" si="45"/>
        <v>0</v>
      </c>
      <c r="H1625" s="247"/>
    </row>
    <row r="1626" spans="1:8" ht="16.5">
      <c r="A1626" s="3">
        <f>IF(F1626="","",COUNTA($F$1249:F1626))</f>
        <v>353</v>
      </c>
      <c r="B1626" s="25" t="s">
        <v>2443</v>
      </c>
      <c r="C1626" s="57" t="s">
        <v>2792</v>
      </c>
      <c r="D1626" s="247"/>
      <c r="E1626" s="13">
        <v>1844000</v>
      </c>
      <c r="F1626" s="13">
        <v>1844000</v>
      </c>
      <c r="G1626" s="125">
        <f t="shared" si="45"/>
        <v>0</v>
      </c>
      <c r="H1626" s="247"/>
    </row>
    <row r="1627" spans="1:8" ht="16.5">
      <c r="A1627" s="3">
        <f>IF(F1627="","",COUNTA($F$1249:F1627))</f>
        <v>354</v>
      </c>
      <c r="B1627" s="25" t="s">
        <v>2444</v>
      </c>
      <c r="C1627" s="57" t="s">
        <v>2792</v>
      </c>
      <c r="D1627" s="247"/>
      <c r="E1627" s="13">
        <v>2195000</v>
      </c>
      <c r="F1627" s="13">
        <v>2195000</v>
      </c>
      <c r="G1627" s="125">
        <f t="shared" si="45"/>
        <v>0</v>
      </c>
      <c r="H1627" s="247"/>
    </row>
    <row r="1628" spans="1:8" ht="16.5">
      <c r="A1628" s="3">
        <f>IF(F1628="","",COUNTA($F$1249:F1628))</f>
        <v>355</v>
      </c>
      <c r="B1628" s="25" t="s">
        <v>2445</v>
      </c>
      <c r="C1628" s="57" t="s">
        <v>2792</v>
      </c>
      <c r="D1628" s="247"/>
      <c r="E1628" s="13">
        <v>3104000</v>
      </c>
      <c r="F1628" s="13">
        <v>3104000</v>
      </c>
      <c r="G1628" s="125">
        <f t="shared" si="45"/>
        <v>0</v>
      </c>
      <c r="H1628" s="247"/>
    </row>
    <row r="1629" spans="1:8" ht="16.5">
      <c r="A1629" s="3">
        <f>IF(F1629="","",COUNTA($F$1249:F1629))</f>
        <v>356</v>
      </c>
      <c r="B1629" s="25" t="s">
        <v>2446</v>
      </c>
      <c r="C1629" s="57" t="s">
        <v>2792</v>
      </c>
      <c r="D1629" s="247"/>
      <c r="E1629" s="13">
        <v>3434000</v>
      </c>
      <c r="F1629" s="13">
        <v>3434000</v>
      </c>
      <c r="G1629" s="125">
        <f t="shared" si="45"/>
        <v>0</v>
      </c>
      <c r="H1629" s="247"/>
    </row>
    <row r="1630" spans="1:8" ht="16.5">
      <c r="A1630" s="3">
        <f>IF(F1630="","",COUNTA($F$1249:F1630))</f>
        <v>357</v>
      </c>
      <c r="B1630" s="25" t="s">
        <v>2447</v>
      </c>
      <c r="C1630" s="57" t="s">
        <v>2792</v>
      </c>
      <c r="D1630" s="247"/>
      <c r="E1630" s="13">
        <v>4312000</v>
      </c>
      <c r="F1630" s="13">
        <v>4312000</v>
      </c>
      <c r="G1630" s="125">
        <f t="shared" si="45"/>
        <v>0</v>
      </c>
      <c r="H1630" s="247"/>
    </row>
    <row r="1631" spans="1:8" ht="16.5">
      <c r="A1631" s="3">
        <f>IF(F1631="","",COUNTA($F$1249:F1631))</f>
        <v>358</v>
      </c>
      <c r="B1631" s="25" t="s">
        <v>2448</v>
      </c>
      <c r="C1631" s="57" t="s">
        <v>2792</v>
      </c>
      <c r="D1631" s="247"/>
      <c r="E1631" s="13">
        <v>4889000</v>
      </c>
      <c r="F1631" s="13">
        <v>4889000</v>
      </c>
      <c r="G1631" s="125">
        <f t="shared" si="45"/>
        <v>0</v>
      </c>
      <c r="H1631" s="247"/>
    </row>
    <row r="1632" spans="1:8" ht="16.5">
      <c r="A1632" s="3">
        <f>IF(F1632="","",COUNTA($F$1249:F1632))</f>
        <v>359</v>
      </c>
      <c r="B1632" s="25" t="s">
        <v>2449</v>
      </c>
      <c r="C1632" s="57" t="s">
        <v>2792</v>
      </c>
      <c r="D1632" s="247"/>
      <c r="E1632" s="13">
        <v>5884000</v>
      </c>
      <c r="F1632" s="13">
        <v>5884000</v>
      </c>
      <c r="G1632" s="125">
        <f t="shared" si="45"/>
        <v>0</v>
      </c>
      <c r="H1632" s="247"/>
    </row>
    <row r="1633" spans="1:8" ht="33">
      <c r="A1633" s="3">
        <f>IF(F1633="","",COUNTA($F$1249:F1633))</f>
      </c>
      <c r="B1633" s="37" t="s">
        <v>139</v>
      </c>
      <c r="C1633" s="57"/>
      <c r="E1633" s="13"/>
      <c r="F1633" s="13"/>
      <c r="G1633" s="125" t="e">
        <f t="shared" si="45"/>
        <v>#DIV/0!</v>
      </c>
      <c r="H1633" s="247"/>
    </row>
    <row r="1634" spans="1:8" ht="16.5">
      <c r="A1634" s="3">
        <f>IF(F1634="","",COUNTA($F$1249:F1634))</f>
        <v>360</v>
      </c>
      <c r="B1634" s="25" t="s">
        <v>2426</v>
      </c>
      <c r="C1634" s="57" t="s">
        <v>2792</v>
      </c>
      <c r="D1634" s="247" t="s">
        <v>138</v>
      </c>
      <c r="E1634" s="13">
        <v>52000</v>
      </c>
      <c r="F1634" s="13">
        <v>52000</v>
      </c>
      <c r="G1634" s="125">
        <f t="shared" si="45"/>
        <v>0</v>
      </c>
      <c r="H1634" s="247"/>
    </row>
    <row r="1635" spans="1:8" ht="16.5">
      <c r="A1635" s="3">
        <f>IF(F1635="","",COUNTA($F$1249:F1635))</f>
        <v>361</v>
      </c>
      <c r="B1635" s="25" t="s">
        <v>2427</v>
      </c>
      <c r="C1635" s="57" t="s">
        <v>2792</v>
      </c>
      <c r="D1635" s="247"/>
      <c r="E1635" s="13">
        <v>70000</v>
      </c>
      <c r="F1635" s="13">
        <v>70000</v>
      </c>
      <c r="G1635" s="125">
        <f t="shared" si="45"/>
        <v>0</v>
      </c>
      <c r="H1635" s="247"/>
    </row>
    <row r="1636" spans="1:8" ht="16.5">
      <c r="A1636" s="3">
        <f>IF(F1636="","",COUNTA($F$1249:F1636))</f>
        <v>362</v>
      </c>
      <c r="B1636" s="25" t="s">
        <v>2428</v>
      </c>
      <c r="C1636" s="57" t="s">
        <v>2792</v>
      </c>
      <c r="D1636" s="247"/>
      <c r="E1636" s="13">
        <v>97000</v>
      </c>
      <c r="F1636" s="13">
        <v>97000</v>
      </c>
      <c r="G1636" s="125">
        <f t="shared" si="45"/>
        <v>0</v>
      </c>
      <c r="H1636" s="247"/>
    </row>
    <row r="1637" spans="1:8" ht="16.5">
      <c r="A1637" s="3">
        <f>IF(F1637="","",COUNTA($F$1249:F1637))</f>
        <v>363</v>
      </c>
      <c r="B1637" s="25" t="s">
        <v>2429</v>
      </c>
      <c r="C1637" s="57" t="s">
        <v>2792</v>
      </c>
      <c r="D1637" s="247"/>
      <c r="E1637" s="13">
        <v>122000</v>
      </c>
      <c r="F1637" s="13">
        <v>122000</v>
      </c>
      <c r="G1637" s="125">
        <f t="shared" si="45"/>
        <v>0</v>
      </c>
      <c r="H1637" s="247"/>
    </row>
    <row r="1638" spans="1:8" ht="16.5">
      <c r="A1638" s="3">
        <f>IF(F1638="","",COUNTA($F$1249:F1638))</f>
        <v>364</v>
      </c>
      <c r="B1638" s="25" t="s">
        <v>2430</v>
      </c>
      <c r="C1638" s="57" t="s">
        <v>2792</v>
      </c>
      <c r="D1638" s="247"/>
      <c r="E1638" s="13">
        <v>153000</v>
      </c>
      <c r="F1638" s="13">
        <v>153000</v>
      </c>
      <c r="G1638" s="125">
        <f t="shared" si="45"/>
        <v>0</v>
      </c>
      <c r="H1638" s="247"/>
    </row>
    <row r="1639" spans="1:8" ht="16.5">
      <c r="A1639" s="3">
        <f>IF(F1639="","",COUNTA($F$1249:F1639))</f>
        <v>365</v>
      </c>
      <c r="B1639" s="25" t="s">
        <v>2431</v>
      </c>
      <c r="C1639" s="57" t="s">
        <v>2792</v>
      </c>
      <c r="D1639" s="247"/>
      <c r="E1639" s="13">
        <v>199000</v>
      </c>
      <c r="F1639" s="13">
        <v>199000</v>
      </c>
      <c r="G1639" s="125">
        <f t="shared" si="45"/>
        <v>0</v>
      </c>
      <c r="H1639" s="247"/>
    </row>
    <row r="1640" spans="1:8" ht="16.5">
      <c r="A1640" s="3">
        <f>IF(F1640="","",COUNTA($F$1249:F1640))</f>
        <v>366</v>
      </c>
      <c r="B1640" s="25" t="s">
        <v>2432</v>
      </c>
      <c r="C1640" s="57" t="s">
        <v>2792</v>
      </c>
      <c r="D1640" s="247"/>
      <c r="E1640" s="13">
        <v>280000</v>
      </c>
      <c r="F1640" s="13">
        <v>280000</v>
      </c>
      <c r="G1640" s="125">
        <f t="shared" si="45"/>
        <v>0</v>
      </c>
      <c r="H1640" s="247"/>
    </row>
    <row r="1641" spans="1:8" ht="16.5">
      <c r="A1641" s="3">
        <f>IF(F1641="","",COUNTA($F$1249:F1641))</f>
        <v>367</v>
      </c>
      <c r="B1641" s="25" t="s">
        <v>2433</v>
      </c>
      <c r="C1641" s="57" t="s">
        <v>2792</v>
      </c>
      <c r="D1641" s="247"/>
      <c r="E1641" s="13">
        <v>329000</v>
      </c>
      <c r="F1641" s="13">
        <v>329000</v>
      </c>
      <c r="G1641" s="125">
        <f t="shared" si="45"/>
        <v>0</v>
      </c>
      <c r="H1641" s="247"/>
    </row>
    <row r="1642" spans="1:8" ht="16.5">
      <c r="A1642" s="3">
        <f>IF(F1642="","",COUNTA($F$1249:F1642))</f>
        <v>368</v>
      </c>
      <c r="B1642" s="25" t="s">
        <v>2434</v>
      </c>
      <c r="C1642" s="57" t="s">
        <v>2792</v>
      </c>
      <c r="D1642" s="247"/>
      <c r="E1642" s="13">
        <v>470000</v>
      </c>
      <c r="F1642" s="13">
        <v>470000</v>
      </c>
      <c r="G1642" s="125">
        <f t="shared" si="45"/>
        <v>0</v>
      </c>
      <c r="H1642" s="247"/>
    </row>
    <row r="1643" spans="1:8" ht="33">
      <c r="A1643" s="3">
        <f>IF(F1643="","",COUNTA($F$1249:F1643))</f>
      </c>
      <c r="B1643" s="37" t="s">
        <v>140</v>
      </c>
      <c r="C1643" s="57"/>
      <c r="E1643" s="13"/>
      <c r="F1643" s="13"/>
      <c r="G1643" s="125" t="e">
        <f t="shared" si="45"/>
        <v>#DIV/0!</v>
      </c>
      <c r="H1643" s="247"/>
    </row>
    <row r="1644" spans="1:8" ht="16.5">
      <c r="A1644" s="3">
        <f>IF(F1644="","",COUNTA($F$1249:F1644))</f>
        <v>369</v>
      </c>
      <c r="B1644" s="25" t="s">
        <v>2450</v>
      </c>
      <c r="C1644" s="57" t="s">
        <v>2792</v>
      </c>
      <c r="D1644" s="247" t="s">
        <v>141</v>
      </c>
      <c r="E1644" s="13">
        <v>952000</v>
      </c>
      <c r="F1644" s="13">
        <v>952000</v>
      </c>
      <c r="G1644" s="125">
        <f t="shared" si="45"/>
        <v>0</v>
      </c>
      <c r="H1644" s="247"/>
    </row>
    <row r="1645" spans="1:8" ht="16.5">
      <c r="A1645" s="3">
        <f>IF(F1645="","",COUNTA($F$1249:F1645))</f>
        <v>370</v>
      </c>
      <c r="B1645" s="25" t="s">
        <v>1970</v>
      </c>
      <c r="C1645" s="57" t="s">
        <v>2792</v>
      </c>
      <c r="D1645" s="247"/>
      <c r="E1645" s="13">
        <v>1274000</v>
      </c>
      <c r="F1645" s="13">
        <v>1274000</v>
      </c>
      <c r="G1645" s="125">
        <f t="shared" si="45"/>
        <v>0</v>
      </c>
      <c r="H1645" s="247"/>
    </row>
    <row r="1646" spans="1:8" ht="16.5">
      <c r="A1646" s="3">
        <f>IF(F1646="","",COUNTA($F$1249:F1646))</f>
        <v>371</v>
      </c>
      <c r="B1646" s="25" t="s">
        <v>1971</v>
      </c>
      <c r="C1646" s="57" t="s">
        <v>2792</v>
      </c>
      <c r="D1646" s="247"/>
      <c r="E1646" s="13">
        <v>1739000</v>
      </c>
      <c r="F1646" s="13">
        <v>1739000</v>
      </c>
      <c r="G1646" s="125">
        <f t="shared" si="45"/>
        <v>0</v>
      </c>
      <c r="H1646" s="247"/>
    </row>
    <row r="1647" spans="1:8" ht="16.5">
      <c r="A1647" s="3">
        <f>IF(F1647="","",COUNTA($F$1249:F1647))</f>
        <v>372</v>
      </c>
      <c r="B1647" s="25" t="s">
        <v>2451</v>
      </c>
      <c r="C1647" s="57" t="s">
        <v>2792</v>
      </c>
      <c r="D1647" s="247"/>
      <c r="E1647" s="13">
        <v>2308000</v>
      </c>
      <c r="F1647" s="13">
        <v>2308000</v>
      </c>
      <c r="G1647" s="125">
        <f t="shared" si="45"/>
        <v>0</v>
      </c>
      <c r="H1647" s="247"/>
    </row>
    <row r="1648" spans="1:8" ht="16.5">
      <c r="A1648" s="3">
        <f>IF(F1648="","",COUNTA($F$1249:F1648))</f>
        <v>373</v>
      </c>
      <c r="B1648" s="25" t="s">
        <v>2452</v>
      </c>
      <c r="C1648" s="57" t="s">
        <v>2792</v>
      </c>
      <c r="D1648" s="247"/>
      <c r="E1648" s="13">
        <v>2872000</v>
      </c>
      <c r="F1648" s="13">
        <v>2872000</v>
      </c>
      <c r="G1648" s="125">
        <f t="shared" si="45"/>
        <v>0</v>
      </c>
      <c r="H1648" s="247"/>
    </row>
    <row r="1649" spans="1:8" ht="16.5">
      <c r="A1649" s="3">
        <f>IF(F1649="","",COUNTA($F$1249:F1649))</f>
        <v>374</v>
      </c>
      <c r="B1649" s="25" t="s">
        <v>2453</v>
      </c>
      <c r="C1649" s="57" t="s">
        <v>2792</v>
      </c>
      <c r="D1649" s="247"/>
      <c r="E1649" s="13">
        <v>4325000</v>
      </c>
      <c r="F1649" s="13">
        <v>4325000</v>
      </c>
      <c r="G1649" s="125">
        <f t="shared" si="45"/>
        <v>0</v>
      </c>
      <c r="H1649" s="247"/>
    </row>
    <row r="1650" spans="1:8" ht="16.5">
      <c r="A1650" s="3">
        <f>IF(F1650="","",COUNTA($F$1249:F1650))</f>
      </c>
      <c r="B1650" s="37" t="s">
        <v>142</v>
      </c>
      <c r="C1650" s="57"/>
      <c r="E1650" s="13"/>
      <c r="F1650" s="13"/>
      <c r="G1650" s="125" t="e">
        <f t="shared" si="45"/>
        <v>#DIV/0!</v>
      </c>
      <c r="H1650" s="247"/>
    </row>
    <row r="1651" spans="1:8" ht="16.5">
      <c r="A1651" s="3">
        <f>IF(F1651="","",COUNTA($F$1249:F1651))</f>
        <v>375</v>
      </c>
      <c r="B1651" s="25" t="s">
        <v>1959</v>
      </c>
      <c r="C1651" s="57" t="s">
        <v>1944</v>
      </c>
      <c r="D1651" s="247" t="s">
        <v>141</v>
      </c>
      <c r="E1651" s="13">
        <v>904000</v>
      </c>
      <c r="F1651" s="13">
        <v>904000</v>
      </c>
      <c r="G1651" s="125">
        <f t="shared" si="45"/>
        <v>0</v>
      </c>
      <c r="H1651" s="247"/>
    </row>
    <row r="1652" spans="1:8" ht="16.5">
      <c r="A1652" s="3">
        <f>IF(F1652="","",COUNTA($F$1249:F1652))</f>
        <v>376</v>
      </c>
      <c r="B1652" s="25" t="s">
        <v>1960</v>
      </c>
      <c r="C1652" s="57" t="s">
        <v>1944</v>
      </c>
      <c r="D1652" s="247"/>
      <c r="E1652" s="13">
        <v>1106000</v>
      </c>
      <c r="F1652" s="13">
        <v>1106000</v>
      </c>
      <c r="G1652" s="125">
        <f t="shared" si="45"/>
        <v>0</v>
      </c>
      <c r="H1652" s="247"/>
    </row>
    <row r="1653" spans="1:8" ht="16.5">
      <c r="A1653" s="3">
        <f>IF(F1653="","",COUNTA($F$1249:F1653))</f>
        <v>377</v>
      </c>
      <c r="B1653" s="25" t="s">
        <v>1970</v>
      </c>
      <c r="C1653" s="57" t="s">
        <v>1944</v>
      </c>
      <c r="D1653" s="247"/>
      <c r="E1653" s="13">
        <v>1746000</v>
      </c>
      <c r="F1653" s="13">
        <v>1746000</v>
      </c>
      <c r="G1653" s="125">
        <f t="shared" si="45"/>
        <v>0</v>
      </c>
      <c r="H1653" s="247"/>
    </row>
    <row r="1654" spans="1:8" ht="16.5">
      <c r="A1654" s="3">
        <f>IF(F1654="","",COUNTA($F$1249:F1654))</f>
        <v>378</v>
      </c>
      <c r="B1654" s="25" t="s">
        <v>1971</v>
      </c>
      <c r="C1654" s="57" t="s">
        <v>1944</v>
      </c>
      <c r="D1654" s="247"/>
      <c r="E1654" s="13">
        <v>2419000</v>
      </c>
      <c r="F1654" s="13">
        <v>2419000</v>
      </c>
      <c r="G1654" s="125">
        <f t="shared" si="45"/>
        <v>0</v>
      </c>
      <c r="H1654" s="247"/>
    </row>
    <row r="1655" spans="1:8" ht="16.5">
      <c r="A1655" s="3">
        <f>IF(F1655="","",COUNTA($F$1249:F1655))</f>
        <v>379</v>
      </c>
      <c r="B1655" s="25" t="s">
        <v>2451</v>
      </c>
      <c r="C1655" s="57" t="s">
        <v>1944</v>
      </c>
      <c r="D1655" s="247"/>
      <c r="E1655" s="13">
        <v>3307000</v>
      </c>
      <c r="F1655" s="13">
        <v>3307000</v>
      </c>
      <c r="G1655" s="125">
        <f t="shared" si="45"/>
        <v>0</v>
      </c>
      <c r="H1655" s="247"/>
    </row>
    <row r="1656" spans="1:8" ht="16.5">
      <c r="A1656" s="3">
        <f>IF(F1656="","",COUNTA($F$1249:F1656))</f>
        <v>380</v>
      </c>
      <c r="B1656" s="25" t="s">
        <v>2452</v>
      </c>
      <c r="C1656" s="57" t="s">
        <v>1944</v>
      </c>
      <c r="D1656" s="247"/>
      <c r="E1656" s="13">
        <v>4618000</v>
      </c>
      <c r="F1656" s="13">
        <v>4618000</v>
      </c>
      <c r="G1656" s="125">
        <f t="shared" si="45"/>
        <v>0</v>
      </c>
      <c r="H1656" s="247"/>
    </row>
    <row r="1657" spans="1:8" ht="16.5">
      <c r="A1657" s="3">
        <f>IF(F1657="","",COUNTA($F$1249:F1657))</f>
      </c>
      <c r="B1657" s="37" t="s">
        <v>143</v>
      </c>
      <c r="C1657" s="57"/>
      <c r="E1657" s="13"/>
      <c r="F1657" s="13"/>
      <c r="G1657" s="125" t="e">
        <f t="shared" si="45"/>
        <v>#DIV/0!</v>
      </c>
      <c r="H1657" s="247"/>
    </row>
    <row r="1658" spans="1:8" ht="16.5">
      <c r="A1658" s="3">
        <f>IF(F1658="","",COUNTA($F$1249:F1658))</f>
        <v>381</v>
      </c>
      <c r="B1658" s="25" t="s">
        <v>1959</v>
      </c>
      <c r="C1658" s="57" t="s">
        <v>1944</v>
      </c>
      <c r="D1658" s="247" t="s">
        <v>141</v>
      </c>
      <c r="E1658" s="13">
        <v>948000</v>
      </c>
      <c r="F1658" s="13">
        <v>948000</v>
      </c>
      <c r="G1658" s="125">
        <f t="shared" si="45"/>
        <v>0</v>
      </c>
      <c r="H1658" s="247"/>
    </row>
    <row r="1659" spans="1:8" ht="16.5">
      <c r="A1659" s="3">
        <f>IF(F1659="","",COUNTA($F$1249:F1659))</f>
        <v>382</v>
      </c>
      <c r="B1659" s="25" t="s">
        <v>1960</v>
      </c>
      <c r="C1659" s="57" t="s">
        <v>1944</v>
      </c>
      <c r="D1659" s="247"/>
      <c r="E1659" s="13">
        <v>1154000</v>
      </c>
      <c r="F1659" s="13">
        <v>1154000</v>
      </c>
      <c r="G1659" s="125">
        <f t="shared" si="45"/>
        <v>0</v>
      </c>
      <c r="H1659" s="247"/>
    </row>
    <row r="1660" spans="1:8" ht="16.5">
      <c r="A1660" s="3">
        <f>IF(F1660="","",COUNTA($F$1249:F1660))</f>
        <v>383</v>
      </c>
      <c r="B1660" s="25" t="s">
        <v>1970</v>
      </c>
      <c r="C1660" s="57" t="s">
        <v>1944</v>
      </c>
      <c r="D1660" s="247"/>
      <c r="E1660" s="13">
        <v>1894000</v>
      </c>
      <c r="F1660" s="13">
        <v>1894000</v>
      </c>
      <c r="G1660" s="125">
        <f t="shared" si="45"/>
        <v>0</v>
      </c>
      <c r="H1660" s="247"/>
    </row>
    <row r="1661" spans="1:8" ht="16.5">
      <c r="A1661" s="3">
        <f>IF(F1661="","",COUNTA($F$1249:F1661))</f>
        <v>384</v>
      </c>
      <c r="B1661" s="25" t="s">
        <v>1971</v>
      </c>
      <c r="C1661" s="57" t="s">
        <v>1944</v>
      </c>
      <c r="D1661" s="247"/>
      <c r="E1661" s="13">
        <v>2724000</v>
      </c>
      <c r="F1661" s="13">
        <v>2724000</v>
      </c>
      <c r="G1661" s="125">
        <f t="shared" si="45"/>
        <v>0</v>
      </c>
      <c r="H1661" s="247"/>
    </row>
    <row r="1662" spans="1:8" ht="16.5">
      <c r="A1662" s="3">
        <f>IF(F1662="","",COUNTA($F$1249:F1662))</f>
        <v>385</v>
      </c>
      <c r="B1662" s="25" t="s">
        <v>2451</v>
      </c>
      <c r="C1662" s="57" t="s">
        <v>1944</v>
      </c>
      <c r="D1662" s="247"/>
      <c r="E1662" s="13">
        <v>3766000</v>
      </c>
      <c r="F1662" s="13">
        <v>3766000</v>
      </c>
      <c r="G1662" s="125">
        <f t="shared" si="45"/>
        <v>0</v>
      </c>
      <c r="H1662" s="247"/>
    </row>
    <row r="1663" spans="1:8" ht="16.5">
      <c r="A1663" s="3">
        <f>IF(F1663="","",COUNTA($F$1249:F1663))</f>
        <v>386</v>
      </c>
      <c r="B1663" s="25" t="s">
        <v>2452</v>
      </c>
      <c r="C1663" s="57" t="s">
        <v>1944</v>
      </c>
      <c r="D1663" s="247"/>
      <c r="E1663" s="13">
        <v>5092000</v>
      </c>
      <c r="F1663" s="13">
        <v>5092000</v>
      </c>
      <c r="G1663" s="125">
        <f t="shared" si="45"/>
        <v>0</v>
      </c>
      <c r="H1663" s="247"/>
    </row>
    <row r="1664" spans="1:8" ht="16.5">
      <c r="A1664" s="3">
        <f>IF(F1664="","",COUNTA($F$1249:F1664))</f>
      </c>
      <c r="B1664" s="37" t="s">
        <v>144</v>
      </c>
      <c r="C1664" s="57"/>
      <c r="E1664" s="13"/>
      <c r="F1664" s="13"/>
      <c r="G1664" s="125" t="e">
        <f t="shared" si="45"/>
        <v>#DIV/0!</v>
      </c>
      <c r="H1664" s="247"/>
    </row>
    <row r="1665" spans="1:8" ht="16.5">
      <c r="A1665" s="3">
        <f>IF(F1665="","",COUNTA($F$1249:F1665))</f>
        <v>387</v>
      </c>
      <c r="B1665" s="25" t="s">
        <v>2454</v>
      </c>
      <c r="C1665" s="57" t="s">
        <v>1944</v>
      </c>
      <c r="D1665" s="247" t="s">
        <v>141</v>
      </c>
      <c r="E1665" s="13">
        <v>1074000</v>
      </c>
      <c r="F1665" s="13">
        <v>1074000</v>
      </c>
      <c r="G1665" s="125">
        <f t="shared" si="45"/>
        <v>0</v>
      </c>
      <c r="H1665" s="247"/>
    </row>
    <row r="1666" spans="1:8" ht="16.5">
      <c r="A1666" s="3">
        <f>IF(F1666="","",COUNTA($F$1249:F1666))</f>
        <v>388</v>
      </c>
      <c r="B1666" s="25" t="s">
        <v>2455</v>
      </c>
      <c r="C1666" s="57" t="s">
        <v>1944</v>
      </c>
      <c r="D1666" s="247"/>
      <c r="E1666" s="13">
        <v>1661000</v>
      </c>
      <c r="F1666" s="13">
        <v>1661000</v>
      </c>
      <c r="G1666" s="125">
        <f aca="true" t="shared" si="46" ref="G1666:G1729">(E1666-F1666)/E1666</f>
        <v>0</v>
      </c>
      <c r="H1666" s="247"/>
    </row>
    <row r="1667" spans="1:8" ht="16.5">
      <c r="A1667" s="3">
        <f>IF(F1667="","",COUNTA($F$1249:F1667))</f>
        <v>389</v>
      </c>
      <c r="B1667" s="25" t="s">
        <v>2456</v>
      </c>
      <c r="C1667" s="57" t="s">
        <v>1944</v>
      </c>
      <c r="D1667" s="247"/>
      <c r="E1667" s="13">
        <v>1823000</v>
      </c>
      <c r="F1667" s="13">
        <v>1823000</v>
      </c>
      <c r="G1667" s="125">
        <f t="shared" si="46"/>
        <v>0</v>
      </c>
      <c r="H1667" s="247"/>
    </row>
    <row r="1668" spans="1:8" ht="16.5">
      <c r="A1668" s="3">
        <f>IF(F1668="","",COUNTA($F$1249:F1668))</f>
        <v>390</v>
      </c>
      <c r="B1668" s="25" t="s">
        <v>2457</v>
      </c>
      <c r="C1668" s="57" t="s">
        <v>1944</v>
      </c>
      <c r="D1668" s="247"/>
      <c r="E1668" s="13">
        <v>2181000</v>
      </c>
      <c r="F1668" s="13">
        <v>2181000</v>
      </c>
      <c r="G1668" s="125">
        <f t="shared" si="46"/>
        <v>0</v>
      </c>
      <c r="H1668" s="247"/>
    </row>
    <row r="1669" spans="1:8" ht="16.5">
      <c r="A1669" s="3">
        <f>IF(F1669="","",COUNTA($F$1249:F1669))</f>
        <v>391</v>
      </c>
      <c r="B1669" s="25" t="s">
        <v>2458</v>
      </c>
      <c r="C1669" s="57" t="s">
        <v>1944</v>
      </c>
      <c r="D1669" s="247"/>
      <c r="E1669" s="13">
        <v>2280000</v>
      </c>
      <c r="F1669" s="13">
        <v>2280000</v>
      </c>
      <c r="G1669" s="125">
        <f t="shared" si="46"/>
        <v>0</v>
      </c>
      <c r="H1669" s="247"/>
    </row>
    <row r="1670" spans="1:8" ht="16.5">
      <c r="A1670" s="3">
        <f>IF(F1670="","",COUNTA($F$1249:F1670))</f>
        <v>392</v>
      </c>
      <c r="B1670" s="25" t="s">
        <v>2459</v>
      </c>
      <c r="C1670" s="57" t="s">
        <v>1944</v>
      </c>
      <c r="D1670" s="247"/>
      <c r="E1670" s="13">
        <v>2679000</v>
      </c>
      <c r="F1670" s="13">
        <v>2679000</v>
      </c>
      <c r="G1670" s="125">
        <f t="shared" si="46"/>
        <v>0</v>
      </c>
      <c r="H1670" s="247"/>
    </row>
    <row r="1671" spans="1:8" ht="16.5">
      <c r="A1671" s="3">
        <f>IF(F1671="","",COUNTA($F$1249:F1671))</f>
        <v>393</v>
      </c>
      <c r="B1671" s="25" t="s">
        <v>2460</v>
      </c>
      <c r="C1671" s="57" t="s">
        <v>1944</v>
      </c>
      <c r="D1671" s="247"/>
      <c r="E1671" s="13">
        <v>3670000</v>
      </c>
      <c r="F1671" s="13">
        <v>3670000</v>
      </c>
      <c r="G1671" s="125">
        <f t="shared" si="46"/>
        <v>0</v>
      </c>
      <c r="H1671" s="247"/>
    </row>
    <row r="1672" spans="1:8" ht="16.5">
      <c r="A1672" s="3">
        <f>IF(F1672="","",COUNTA($F$1249:F1672))</f>
        <v>394</v>
      </c>
      <c r="B1672" s="25" t="s">
        <v>2461</v>
      </c>
      <c r="C1672" s="57" t="s">
        <v>1944</v>
      </c>
      <c r="D1672" s="247"/>
      <c r="E1672" s="13">
        <v>3848000</v>
      </c>
      <c r="F1672" s="13">
        <v>3848000</v>
      </c>
      <c r="G1672" s="125">
        <f t="shared" si="46"/>
        <v>0</v>
      </c>
      <c r="H1672" s="247"/>
    </row>
    <row r="1673" spans="1:8" ht="16.5">
      <c r="A1673" s="3">
        <f>IF(F1673="","",COUNTA($F$1249:F1673))</f>
        <v>395</v>
      </c>
      <c r="B1673" s="25" t="s">
        <v>2462</v>
      </c>
      <c r="C1673" s="57" t="s">
        <v>1944</v>
      </c>
      <c r="D1673" s="247"/>
      <c r="E1673" s="13">
        <v>3878000</v>
      </c>
      <c r="F1673" s="13">
        <v>3878000</v>
      </c>
      <c r="G1673" s="125">
        <f t="shared" si="46"/>
        <v>0</v>
      </c>
      <c r="H1673" s="247"/>
    </row>
    <row r="1674" spans="1:8" ht="16.5">
      <c r="A1674" s="3">
        <f>IF(F1674="","",COUNTA($F$1249:F1674))</f>
        <v>396</v>
      </c>
      <c r="B1674" s="25" t="s">
        <v>2463</v>
      </c>
      <c r="C1674" s="57" t="s">
        <v>1944</v>
      </c>
      <c r="D1674" s="247"/>
      <c r="E1674" s="13">
        <v>5207000</v>
      </c>
      <c r="F1674" s="13">
        <v>5207000</v>
      </c>
      <c r="G1674" s="125">
        <f t="shared" si="46"/>
        <v>0</v>
      </c>
      <c r="H1674" s="247"/>
    </row>
    <row r="1675" spans="1:8" ht="16.5">
      <c r="A1675" s="3">
        <f>IF(F1675="","",COUNTA($F$1249:F1675))</f>
        <v>397</v>
      </c>
      <c r="B1675" s="25" t="s">
        <v>2464</v>
      </c>
      <c r="C1675" s="57" t="s">
        <v>1944</v>
      </c>
      <c r="D1675" s="247"/>
      <c r="E1675" s="13">
        <v>5476000</v>
      </c>
      <c r="F1675" s="13">
        <v>5476000</v>
      </c>
      <c r="G1675" s="125">
        <f t="shared" si="46"/>
        <v>0</v>
      </c>
      <c r="H1675" s="247"/>
    </row>
    <row r="1676" spans="1:8" ht="16.5">
      <c r="A1676" s="3">
        <f>IF(F1676="","",COUNTA($F$1249:F1676))</f>
        <v>398</v>
      </c>
      <c r="B1676" s="25" t="s">
        <v>2465</v>
      </c>
      <c r="C1676" s="57" t="s">
        <v>1944</v>
      </c>
      <c r="D1676" s="247"/>
      <c r="E1676" s="13">
        <v>5624000</v>
      </c>
      <c r="F1676" s="13">
        <v>5624000</v>
      </c>
      <c r="G1676" s="125">
        <f t="shared" si="46"/>
        <v>0</v>
      </c>
      <c r="H1676" s="247"/>
    </row>
    <row r="1677" spans="1:8" ht="16.5">
      <c r="A1677" s="3">
        <f>IF(F1677="","",COUNTA($F$1249:F1677))</f>
      </c>
      <c r="B1677" s="37" t="s">
        <v>145</v>
      </c>
      <c r="C1677" s="57"/>
      <c r="E1677" s="13"/>
      <c r="F1677" s="13"/>
      <c r="G1677" s="125" t="e">
        <f t="shared" si="46"/>
        <v>#DIV/0!</v>
      </c>
      <c r="H1677" s="247"/>
    </row>
    <row r="1678" spans="1:8" ht="16.5">
      <c r="A1678" s="3">
        <f>IF(F1678="","",COUNTA($F$1249:F1678))</f>
        <v>399</v>
      </c>
      <c r="B1678" s="25" t="s">
        <v>2454</v>
      </c>
      <c r="C1678" s="57" t="s">
        <v>1944</v>
      </c>
      <c r="D1678" s="247" t="s">
        <v>141</v>
      </c>
      <c r="E1678" s="13">
        <v>1244000</v>
      </c>
      <c r="F1678" s="13">
        <v>1244000</v>
      </c>
      <c r="G1678" s="125">
        <f t="shared" si="46"/>
        <v>0</v>
      </c>
      <c r="H1678" s="247"/>
    </row>
    <row r="1679" spans="1:8" ht="16.5">
      <c r="A1679" s="3">
        <f>IF(F1679="","",COUNTA($F$1249:F1679))</f>
        <v>400</v>
      </c>
      <c r="B1679" s="25" t="s">
        <v>2455</v>
      </c>
      <c r="C1679" s="57" t="s">
        <v>1944</v>
      </c>
      <c r="D1679" s="247"/>
      <c r="E1679" s="13">
        <v>2075000</v>
      </c>
      <c r="F1679" s="13">
        <v>2075000</v>
      </c>
      <c r="G1679" s="125">
        <f t="shared" si="46"/>
        <v>0</v>
      </c>
      <c r="H1679" s="247"/>
    </row>
    <row r="1680" spans="1:8" ht="16.5">
      <c r="A1680" s="3">
        <f>IF(F1680="","",COUNTA($F$1249:F1680))</f>
        <v>401</v>
      </c>
      <c r="B1680" s="25" t="s">
        <v>2456</v>
      </c>
      <c r="C1680" s="57" t="s">
        <v>1944</v>
      </c>
      <c r="D1680" s="247"/>
      <c r="E1680" s="13">
        <v>2102000</v>
      </c>
      <c r="F1680" s="13">
        <v>2102000</v>
      </c>
      <c r="G1680" s="125">
        <f t="shared" si="46"/>
        <v>0</v>
      </c>
      <c r="H1680" s="247"/>
    </row>
    <row r="1681" spans="1:8" ht="16.5">
      <c r="A1681" s="3">
        <f>IF(F1681="","",COUNTA($F$1249:F1681))</f>
        <v>402</v>
      </c>
      <c r="B1681" s="25" t="s">
        <v>2457</v>
      </c>
      <c r="C1681" s="57" t="s">
        <v>1944</v>
      </c>
      <c r="D1681" s="247"/>
      <c r="E1681" s="13">
        <v>2332000</v>
      </c>
      <c r="F1681" s="13">
        <v>2332000</v>
      </c>
      <c r="G1681" s="125">
        <f t="shared" si="46"/>
        <v>0</v>
      </c>
      <c r="H1681" s="247"/>
    </row>
    <row r="1682" spans="1:8" ht="16.5">
      <c r="A1682" s="3">
        <f>IF(F1682="","",COUNTA($F$1249:F1682))</f>
        <v>403</v>
      </c>
      <c r="B1682" s="25" t="s">
        <v>2458</v>
      </c>
      <c r="C1682" s="57" t="s">
        <v>1944</v>
      </c>
      <c r="D1682" s="247"/>
      <c r="E1682" s="13">
        <v>2768000</v>
      </c>
      <c r="F1682" s="13">
        <v>2768000</v>
      </c>
      <c r="G1682" s="125">
        <f t="shared" si="46"/>
        <v>0</v>
      </c>
      <c r="H1682" s="247"/>
    </row>
    <row r="1683" spans="1:8" ht="16.5">
      <c r="A1683" s="3">
        <f>IF(F1683="","",COUNTA($F$1249:F1683))</f>
        <v>404</v>
      </c>
      <c r="B1683" s="25" t="s">
        <v>2459</v>
      </c>
      <c r="C1683" s="57" t="s">
        <v>1944</v>
      </c>
      <c r="D1683" s="247"/>
      <c r="E1683" s="13">
        <v>2798000</v>
      </c>
      <c r="F1683" s="13">
        <v>2798000</v>
      </c>
      <c r="G1683" s="125">
        <f t="shared" si="46"/>
        <v>0</v>
      </c>
      <c r="H1683" s="247"/>
    </row>
    <row r="1684" spans="1:8" ht="16.5">
      <c r="A1684" s="3">
        <f>IF(F1684="","",COUNTA($F$1249:F1684))</f>
        <v>405</v>
      </c>
      <c r="B1684" s="25" t="s">
        <v>2460</v>
      </c>
      <c r="C1684" s="57" t="s">
        <v>1944</v>
      </c>
      <c r="D1684" s="247"/>
      <c r="E1684" s="13">
        <v>4588000</v>
      </c>
      <c r="F1684" s="13">
        <v>4588000</v>
      </c>
      <c r="G1684" s="125">
        <f t="shared" si="46"/>
        <v>0</v>
      </c>
      <c r="H1684" s="247"/>
    </row>
    <row r="1685" spans="1:8" ht="16.5">
      <c r="A1685" s="3">
        <f>IF(F1685="","",COUNTA($F$1249:F1685))</f>
        <v>406</v>
      </c>
      <c r="B1685" s="25" t="s">
        <v>2461</v>
      </c>
      <c r="C1685" s="57" t="s">
        <v>1944</v>
      </c>
      <c r="D1685" s="247"/>
      <c r="E1685" s="13">
        <v>4663000</v>
      </c>
      <c r="F1685" s="13">
        <v>4663000</v>
      </c>
      <c r="G1685" s="125">
        <f t="shared" si="46"/>
        <v>0</v>
      </c>
      <c r="H1685" s="247"/>
    </row>
    <row r="1686" spans="1:8" ht="16.5">
      <c r="A1686" s="3">
        <f>IF(F1686="","",COUNTA($F$1249:F1686))</f>
        <v>407</v>
      </c>
      <c r="B1686" s="25" t="s">
        <v>2462</v>
      </c>
      <c r="C1686" s="57" t="s">
        <v>1944</v>
      </c>
      <c r="D1686" s="247"/>
      <c r="E1686" s="13">
        <v>4676000</v>
      </c>
      <c r="F1686" s="13">
        <v>4676000</v>
      </c>
      <c r="G1686" s="125">
        <f t="shared" si="46"/>
        <v>0</v>
      </c>
      <c r="H1686" s="247"/>
    </row>
    <row r="1687" spans="1:8" ht="16.5">
      <c r="A1687" s="3">
        <f>IF(F1687="","",COUNTA($F$1249:F1687))</f>
        <v>408</v>
      </c>
      <c r="B1687" s="25" t="s">
        <v>2463</v>
      </c>
      <c r="C1687" s="57" t="s">
        <v>1944</v>
      </c>
      <c r="D1687" s="247"/>
      <c r="E1687" s="13">
        <v>5772000</v>
      </c>
      <c r="F1687" s="13">
        <v>5772000</v>
      </c>
      <c r="G1687" s="125">
        <f t="shared" si="46"/>
        <v>0</v>
      </c>
      <c r="H1687" s="247"/>
    </row>
    <row r="1688" spans="1:8" ht="16.5">
      <c r="A1688" s="3">
        <f>IF(F1688="","",COUNTA($F$1249:F1688))</f>
        <v>409</v>
      </c>
      <c r="B1688" s="25" t="s">
        <v>2464</v>
      </c>
      <c r="C1688" s="57" t="s">
        <v>1944</v>
      </c>
      <c r="D1688" s="247"/>
      <c r="E1688" s="13">
        <v>5906000</v>
      </c>
      <c r="F1688" s="13">
        <v>5906000</v>
      </c>
      <c r="G1688" s="125">
        <f t="shared" si="46"/>
        <v>0</v>
      </c>
      <c r="H1688" s="247"/>
    </row>
    <row r="1689" spans="1:8" ht="16.5">
      <c r="A1689" s="3">
        <f>IF(F1689="","",COUNTA($F$1249:F1689))</f>
        <v>410</v>
      </c>
      <c r="B1689" s="25" t="s">
        <v>2465</v>
      </c>
      <c r="C1689" s="57" t="s">
        <v>1944</v>
      </c>
      <c r="D1689" s="247"/>
      <c r="E1689" s="13">
        <v>5996000</v>
      </c>
      <c r="F1689" s="13">
        <v>5996000</v>
      </c>
      <c r="G1689" s="125">
        <f t="shared" si="46"/>
        <v>0</v>
      </c>
      <c r="H1689" s="247"/>
    </row>
    <row r="1690" spans="1:8" ht="16.5">
      <c r="A1690" s="3">
        <f>IF(F1690="","",COUNTA($F$1249:F1690))</f>
      </c>
      <c r="B1690" s="37" t="s">
        <v>146</v>
      </c>
      <c r="C1690" s="57"/>
      <c r="E1690" s="13"/>
      <c r="F1690" s="13"/>
      <c r="G1690" s="125" t="e">
        <f t="shared" si="46"/>
        <v>#DIV/0!</v>
      </c>
      <c r="H1690" s="247"/>
    </row>
    <row r="1691" spans="1:8" ht="16.5">
      <c r="A1691" s="3">
        <f>IF(F1691="","",COUNTA($F$1249:F1691))</f>
        <v>411</v>
      </c>
      <c r="B1691" s="25" t="s">
        <v>1959</v>
      </c>
      <c r="C1691" s="57" t="s">
        <v>1944</v>
      </c>
      <c r="D1691" s="247" t="s">
        <v>141</v>
      </c>
      <c r="E1691" s="13">
        <v>1021000</v>
      </c>
      <c r="F1691" s="13">
        <v>1021000</v>
      </c>
      <c r="G1691" s="125">
        <f t="shared" si="46"/>
        <v>0</v>
      </c>
      <c r="H1691" s="247"/>
    </row>
    <row r="1692" spans="1:8" ht="16.5">
      <c r="A1692" s="3">
        <f>IF(F1692="","",COUNTA($F$1249:F1692))</f>
        <v>412</v>
      </c>
      <c r="B1692" s="25" t="s">
        <v>1960</v>
      </c>
      <c r="C1692" s="57" t="s">
        <v>1944</v>
      </c>
      <c r="D1692" s="247"/>
      <c r="E1692" s="13">
        <v>1134000</v>
      </c>
      <c r="F1692" s="13">
        <v>1134000</v>
      </c>
      <c r="G1692" s="125">
        <f t="shared" si="46"/>
        <v>0</v>
      </c>
      <c r="H1692" s="247"/>
    </row>
    <row r="1693" spans="1:8" ht="16.5">
      <c r="A1693" s="3">
        <f>IF(F1693="","",COUNTA($F$1249:F1693))</f>
        <v>413</v>
      </c>
      <c r="B1693" s="25" t="s">
        <v>1970</v>
      </c>
      <c r="C1693" s="57" t="s">
        <v>1944</v>
      </c>
      <c r="D1693" s="247"/>
      <c r="E1693" s="13">
        <v>1924000</v>
      </c>
      <c r="F1693" s="13">
        <v>1924000</v>
      </c>
      <c r="G1693" s="125">
        <f t="shared" si="46"/>
        <v>0</v>
      </c>
      <c r="H1693" s="247"/>
    </row>
    <row r="1694" spans="1:8" ht="16.5">
      <c r="A1694" s="3">
        <f>IF(F1694="","",COUNTA($F$1249:F1694))</f>
        <v>414</v>
      </c>
      <c r="B1694" s="25" t="s">
        <v>1971</v>
      </c>
      <c r="C1694" s="57" t="s">
        <v>1944</v>
      </c>
      <c r="D1694" s="247"/>
      <c r="E1694" s="13">
        <v>3049000</v>
      </c>
      <c r="F1694" s="13">
        <v>3049000</v>
      </c>
      <c r="G1694" s="125">
        <f t="shared" si="46"/>
        <v>0</v>
      </c>
      <c r="H1694" s="247"/>
    </row>
    <row r="1695" spans="1:8" ht="16.5">
      <c r="A1695" s="3">
        <f>IF(F1695="","",COUNTA($F$1249:F1695))</f>
        <v>415</v>
      </c>
      <c r="B1695" s="25" t="s">
        <v>2451</v>
      </c>
      <c r="C1695" s="57" t="s">
        <v>1944</v>
      </c>
      <c r="D1695" s="247"/>
      <c r="E1695" s="13">
        <v>4811000</v>
      </c>
      <c r="F1695" s="13">
        <v>4811000</v>
      </c>
      <c r="G1695" s="125">
        <f t="shared" si="46"/>
        <v>0</v>
      </c>
      <c r="H1695" s="247"/>
    </row>
    <row r="1696" spans="1:8" ht="16.5">
      <c r="A1696" s="3">
        <f>IF(F1696="","",COUNTA($F$1249:F1696))</f>
        <v>416</v>
      </c>
      <c r="B1696" s="25" t="s">
        <v>2452</v>
      </c>
      <c r="C1696" s="57" t="s">
        <v>1944</v>
      </c>
      <c r="D1696" s="247"/>
      <c r="E1696" s="13">
        <v>6439000</v>
      </c>
      <c r="F1696" s="13">
        <v>6439000</v>
      </c>
      <c r="G1696" s="125">
        <f t="shared" si="46"/>
        <v>0</v>
      </c>
      <c r="H1696" s="247"/>
    </row>
    <row r="1697" spans="1:8" ht="16.5">
      <c r="A1697" s="3">
        <f>IF(F1697="","",COUNTA($F$1249:F1697))</f>
      </c>
      <c r="B1697" s="37" t="s">
        <v>147</v>
      </c>
      <c r="C1697" s="57"/>
      <c r="E1697" s="13"/>
      <c r="F1697" s="13"/>
      <c r="G1697" s="125" t="e">
        <f t="shared" si="46"/>
        <v>#DIV/0!</v>
      </c>
      <c r="H1697" s="247"/>
    </row>
    <row r="1698" spans="1:8" ht="16.5">
      <c r="A1698" s="3">
        <f>IF(F1698="","",COUNTA($F$1249:F1698))</f>
        <v>417</v>
      </c>
      <c r="B1698" s="25" t="s">
        <v>1959</v>
      </c>
      <c r="C1698" s="57" t="s">
        <v>1944</v>
      </c>
      <c r="D1698" s="247" t="s">
        <v>141</v>
      </c>
      <c r="E1698" s="13">
        <v>1036000</v>
      </c>
      <c r="F1698" s="13">
        <v>1036000</v>
      </c>
      <c r="G1698" s="125">
        <f t="shared" si="46"/>
        <v>0</v>
      </c>
      <c r="H1698" s="247"/>
    </row>
    <row r="1699" spans="1:8" ht="16.5">
      <c r="A1699" s="3">
        <f>IF(F1699="","",COUNTA($F$1249:F1699))</f>
        <v>418</v>
      </c>
      <c r="B1699" s="25" t="s">
        <v>1960</v>
      </c>
      <c r="C1699" s="57" t="s">
        <v>1944</v>
      </c>
      <c r="D1699" s="247"/>
      <c r="E1699" s="13">
        <v>1335000</v>
      </c>
      <c r="F1699" s="13">
        <v>1335000</v>
      </c>
      <c r="G1699" s="125">
        <f t="shared" si="46"/>
        <v>0</v>
      </c>
      <c r="H1699" s="247"/>
    </row>
    <row r="1700" spans="1:8" ht="16.5">
      <c r="A1700" s="3">
        <f>IF(F1700="","",COUNTA($F$1249:F1700))</f>
        <v>419</v>
      </c>
      <c r="B1700" s="25" t="s">
        <v>1970</v>
      </c>
      <c r="C1700" s="57" t="s">
        <v>1944</v>
      </c>
      <c r="D1700" s="247"/>
      <c r="E1700" s="13">
        <v>2292000</v>
      </c>
      <c r="F1700" s="13">
        <v>2292000</v>
      </c>
      <c r="G1700" s="125">
        <f t="shared" si="46"/>
        <v>0</v>
      </c>
      <c r="H1700" s="247"/>
    </row>
    <row r="1701" spans="1:8" ht="16.5">
      <c r="A1701" s="3">
        <f>IF(F1701="","",COUNTA($F$1249:F1701))</f>
        <v>420</v>
      </c>
      <c r="B1701" s="25" t="s">
        <v>1971</v>
      </c>
      <c r="C1701" s="57" t="s">
        <v>1944</v>
      </c>
      <c r="D1701" s="247"/>
      <c r="E1701" s="13">
        <v>3788000</v>
      </c>
      <c r="F1701" s="13">
        <v>3788000</v>
      </c>
      <c r="G1701" s="125">
        <f t="shared" si="46"/>
        <v>0</v>
      </c>
      <c r="H1701" s="247"/>
    </row>
    <row r="1702" spans="1:8" ht="16.5">
      <c r="A1702" s="3">
        <f>IF(F1702="","",COUNTA($F$1249:F1702))</f>
        <v>421</v>
      </c>
      <c r="B1702" s="25" t="s">
        <v>2451</v>
      </c>
      <c r="C1702" s="57" t="s">
        <v>1944</v>
      </c>
      <c r="D1702" s="247"/>
      <c r="E1702" s="13">
        <v>6087000</v>
      </c>
      <c r="F1702" s="13">
        <v>6087000</v>
      </c>
      <c r="G1702" s="125">
        <f t="shared" si="46"/>
        <v>0</v>
      </c>
      <c r="H1702" s="247"/>
    </row>
    <row r="1703" spans="1:8" ht="16.5">
      <c r="A1703" s="3">
        <f>IF(F1703="","",COUNTA($F$1249:F1703))</f>
        <v>422</v>
      </c>
      <c r="B1703" s="25" t="s">
        <v>2452</v>
      </c>
      <c r="C1703" s="57" t="s">
        <v>1944</v>
      </c>
      <c r="D1703" s="247"/>
      <c r="E1703" s="13">
        <v>9237000</v>
      </c>
      <c r="F1703" s="13">
        <v>9237000</v>
      </c>
      <c r="G1703" s="125">
        <f t="shared" si="46"/>
        <v>0</v>
      </c>
      <c r="H1703" s="247"/>
    </row>
    <row r="1704" spans="1:8" ht="16.5">
      <c r="A1704" s="3">
        <f>IF(F1704="","",COUNTA($F$1249:F1704))</f>
      </c>
      <c r="B1704" s="25" t="s">
        <v>148</v>
      </c>
      <c r="C1704" s="57"/>
      <c r="E1704" s="13"/>
      <c r="F1704" s="13"/>
      <c r="G1704" s="125" t="e">
        <f t="shared" si="46"/>
        <v>#DIV/0!</v>
      </c>
      <c r="H1704" s="247"/>
    </row>
    <row r="1705" spans="1:8" ht="16.5">
      <c r="A1705" s="3">
        <f>IF(F1705="","",COUNTA($F$1249:F1705))</f>
        <v>423</v>
      </c>
      <c r="B1705" s="25" t="s">
        <v>1959</v>
      </c>
      <c r="C1705" s="57" t="s">
        <v>1944</v>
      </c>
      <c r="D1705" s="247" t="s">
        <v>149</v>
      </c>
      <c r="E1705" s="13">
        <v>1074000</v>
      </c>
      <c r="F1705" s="13">
        <v>1074000</v>
      </c>
      <c r="G1705" s="125">
        <f t="shared" si="46"/>
        <v>0</v>
      </c>
      <c r="H1705" s="247"/>
    </row>
    <row r="1706" spans="1:8" ht="16.5">
      <c r="A1706" s="3">
        <f>IF(F1706="","",COUNTA($F$1249:F1706))</f>
        <v>424</v>
      </c>
      <c r="B1706" s="25" t="s">
        <v>1960</v>
      </c>
      <c r="C1706" s="57" t="s">
        <v>1944</v>
      </c>
      <c r="D1706" s="247"/>
      <c r="E1706" s="13">
        <v>1622000</v>
      </c>
      <c r="F1706" s="13">
        <v>1622000</v>
      </c>
      <c r="G1706" s="125">
        <f t="shared" si="46"/>
        <v>0</v>
      </c>
      <c r="H1706" s="247"/>
    </row>
    <row r="1707" spans="1:8" ht="16.5">
      <c r="A1707" s="3">
        <f>IF(F1707="","",COUNTA($F$1249:F1707))</f>
        <v>425</v>
      </c>
      <c r="B1707" s="25" t="s">
        <v>1970</v>
      </c>
      <c r="C1707" s="57" t="s">
        <v>1944</v>
      </c>
      <c r="D1707" s="247"/>
      <c r="E1707" s="13">
        <v>2486000</v>
      </c>
      <c r="F1707" s="13">
        <v>2486000</v>
      </c>
      <c r="G1707" s="125">
        <f t="shared" si="46"/>
        <v>0</v>
      </c>
      <c r="H1707" s="247"/>
    </row>
    <row r="1708" spans="1:8" ht="16.5">
      <c r="A1708" s="3">
        <f>IF(F1708="","",COUNTA($F$1249:F1708))</f>
        <v>426</v>
      </c>
      <c r="B1708" s="25" t="s">
        <v>1971</v>
      </c>
      <c r="C1708" s="57" t="s">
        <v>1944</v>
      </c>
      <c r="D1708" s="247"/>
      <c r="E1708" s="13">
        <v>3936000</v>
      </c>
      <c r="F1708" s="13">
        <v>3936000</v>
      </c>
      <c r="G1708" s="125">
        <f t="shared" si="46"/>
        <v>0</v>
      </c>
      <c r="H1708" s="247"/>
    </row>
    <row r="1709" spans="1:8" ht="16.5">
      <c r="A1709" s="3">
        <f>IF(F1709="","",COUNTA($F$1249:F1709))</f>
        <v>427</v>
      </c>
      <c r="B1709" s="25" t="s">
        <v>2451</v>
      </c>
      <c r="C1709" s="57" t="s">
        <v>1944</v>
      </c>
      <c r="D1709" s="247"/>
      <c r="E1709" s="13">
        <v>6291000</v>
      </c>
      <c r="F1709" s="13">
        <v>6291000</v>
      </c>
      <c r="G1709" s="125">
        <f t="shared" si="46"/>
        <v>0</v>
      </c>
      <c r="H1709" s="247"/>
    </row>
    <row r="1710" spans="1:8" ht="16.5">
      <c r="A1710" s="3">
        <f>IF(F1710="","",COUNTA($F$1249:F1710))</f>
        <v>428</v>
      </c>
      <c r="B1710" s="25" t="s">
        <v>2452</v>
      </c>
      <c r="C1710" s="57" t="s">
        <v>1944</v>
      </c>
      <c r="D1710" s="247"/>
      <c r="E1710" s="13">
        <v>10880000</v>
      </c>
      <c r="F1710" s="13">
        <v>10880000</v>
      </c>
      <c r="G1710" s="125">
        <f t="shared" si="46"/>
        <v>0</v>
      </c>
      <c r="H1710" s="247"/>
    </row>
    <row r="1711" spans="1:8" ht="16.5">
      <c r="A1711" s="3">
        <f>IF(F1711="","",COUNTA($F$1249:F1711))</f>
      </c>
      <c r="B1711" s="37" t="s">
        <v>150</v>
      </c>
      <c r="C1711" s="57"/>
      <c r="E1711" s="13"/>
      <c r="F1711" s="13"/>
      <c r="G1711" s="125" t="e">
        <f t="shared" si="46"/>
        <v>#DIV/0!</v>
      </c>
      <c r="H1711" s="247"/>
    </row>
    <row r="1712" spans="1:8" ht="16.5">
      <c r="A1712" s="3">
        <f>IF(F1712="","",COUNTA($F$1249:F1712))</f>
        <v>429</v>
      </c>
      <c r="B1712" s="25" t="s">
        <v>1959</v>
      </c>
      <c r="C1712" s="57" t="s">
        <v>1944</v>
      </c>
      <c r="D1712" s="247" t="s">
        <v>141</v>
      </c>
      <c r="E1712" s="13">
        <v>1187000</v>
      </c>
      <c r="F1712" s="13">
        <v>1187000</v>
      </c>
      <c r="G1712" s="125">
        <f t="shared" si="46"/>
        <v>0</v>
      </c>
      <c r="H1712" s="247"/>
    </row>
    <row r="1713" spans="1:8" ht="16.5">
      <c r="A1713" s="3">
        <f>IF(F1713="","",COUNTA($F$1249:F1713))</f>
        <v>430</v>
      </c>
      <c r="B1713" s="25" t="s">
        <v>1960</v>
      </c>
      <c r="C1713" s="57" t="s">
        <v>1944</v>
      </c>
      <c r="D1713" s="247"/>
      <c r="E1713" s="13">
        <v>1426000</v>
      </c>
      <c r="F1713" s="13">
        <v>1426000</v>
      </c>
      <c r="G1713" s="125">
        <f t="shared" si="46"/>
        <v>0</v>
      </c>
      <c r="H1713" s="247"/>
    </row>
    <row r="1714" spans="1:8" ht="16.5">
      <c r="A1714" s="3">
        <f>IF(F1714="","",COUNTA($F$1249:F1714))</f>
        <v>431</v>
      </c>
      <c r="B1714" s="25" t="s">
        <v>1970</v>
      </c>
      <c r="C1714" s="57" t="s">
        <v>1944</v>
      </c>
      <c r="D1714" s="247"/>
      <c r="E1714" s="13">
        <v>2591000</v>
      </c>
      <c r="F1714" s="13">
        <v>2591000</v>
      </c>
      <c r="G1714" s="125">
        <f t="shared" si="46"/>
        <v>0</v>
      </c>
      <c r="H1714" s="247"/>
    </row>
    <row r="1715" spans="1:8" ht="16.5">
      <c r="A1715" s="3">
        <f>IF(F1715="","",COUNTA($F$1249:F1715))</f>
        <v>432</v>
      </c>
      <c r="B1715" s="25" t="s">
        <v>1971</v>
      </c>
      <c r="C1715" s="57" t="s">
        <v>1944</v>
      </c>
      <c r="D1715" s="247"/>
      <c r="E1715" s="13">
        <v>4098000</v>
      </c>
      <c r="F1715" s="13">
        <v>4098000</v>
      </c>
      <c r="G1715" s="125">
        <f t="shared" si="46"/>
        <v>0</v>
      </c>
      <c r="H1715" s="247"/>
    </row>
    <row r="1716" spans="1:8" ht="16.5">
      <c r="A1716" s="3">
        <f>IF(F1716="","",COUNTA($F$1249:F1716))</f>
        <v>433</v>
      </c>
      <c r="B1716" s="25" t="s">
        <v>2451</v>
      </c>
      <c r="C1716" s="57" t="s">
        <v>1944</v>
      </c>
      <c r="D1716" s="247"/>
      <c r="E1716" s="13">
        <v>6897000</v>
      </c>
      <c r="F1716" s="13">
        <v>6897000</v>
      </c>
      <c r="G1716" s="125">
        <f t="shared" si="46"/>
        <v>0</v>
      </c>
      <c r="H1716" s="247"/>
    </row>
    <row r="1717" spans="1:8" ht="16.5">
      <c r="A1717" s="3">
        <f>IF(F1717="","",COUNTA($F$1249:F1717))</f>
        <v>434</v>
      </c>
      <c r="B1717" s="25" t="s">
        <v>2452</v>
      </c>
      <c r="C1717" s="57" t="s">
        <v>1944</v>
      </c>
      <c r="D1717" s="247"/>
      <c r="E1717" s="13">
        <v>9265000</v>
      </c>
      <c r="F1717" s="13">
        <v>9265000</v>
      </c>
      <c r="G1717" s="125">
        <f t="shared" si="46"/>
        <v>0</v>
      </c>
      <c r="H1717" s="247"/>
    </row>
    <row r="1718" spans="1:8" ht="16.5">
      <c r="A1718" s="3">
        <f>IF(F1718="","",COUNTA($F$1249:F1718))</f>
      </c>
      <c r="B1718" s="37" t="s">
        <v>151</v>
      </c>
      <c r="C1718" s="57"/>
      <c r="E1718" s="13"/>
      <c r="F1718" s="13"/>
      <c r="G1718" s="125" t="e">
        <f t="shared" si="46"/>
        <v>#DIV/0!</v>
      </c>
      <c r="H1718" s="247"/>
    </row>
    <row r="1719" spans="1:8" ht="16.5">
      <c r="A1719" s="3">
        <f>IF(F1719="","",COUNTA($F$1249:F1719))</f>
        <v>435</v>
      </c>
      <c r="B1719" s="25" t="s">
        <v>2454</v>
      </c>
      <c r="C1719" s="57" t="s">
        <v>1944</v>
      </c>
      <c r="D1719" s="247" t="s">
        <v>141</v>
      </c>
      <c r="E1719" s="13">
        <v>1448000</v>
      </c>
      <c r="F1719" s="13">
        <v>1448000</v>
      </c>
      <c r="G1719" s="125">
        <f t="shared" si="46"/>
        <v>0</v>
      </c>
      <c r="H1719" s="247"/>
    </row>
    <row r="1720" spans="1:8" ht="16.5">
      <c r="A1720" s="3">
        <f>IF(F1720="","",COUNTA($F$1249:F1720))</f>
        <v>436</v>
      </c>
      <c r="B1720" s="25" t="s">
        <v>2455</v>
      </c>
      <c r="C1720" s="57" t="s">
        <v>1944</v>
      </c>
      <c r="D1720" s="247"/>
      <c r="E1720" s="13">
        <v>2324000</v>
      </c>
      <c r="F1720" s="13">
        <v>2324000</v>
      </c>
      <c r="G1720" s="125">
        <f t="shared" si="46"/>
        <v>0</v>
      </c>
      <c r="H1720" s="247"/>
    </row>
    <row r="1721" spans="1:8" ht="16.5">
      <c r="A1721" s="3">
        <f>IF(F1721="","",COUNTA($F$1249:F1721))</f>
        <v>437</v>
      </c>
      <c r="B1721" s="25" t="s">
        <v>2456</v>
      </c>
      <c r="C1721" s="57" t="s">
        <v>1944</v>
      </c>
      <c r="D1721" s="247"/>
      <c r="E1721" s="13">
        <v>2783000</v>
      </c>
      <c r="F1721" s="13">
        <v>2783000</v>
      </c>
      <c r="G1721" s="125">
        <f t="shared" si="46"/>
        <v>0</v>
      </c>
      <c r="H1721" s="247"/>
    </row>
    <row r="1722" spans="1:8" ht="16.5">
      <c r="A1722" s="3">
        <f>IF(F1722="","",COUNTA($F$1249:F1722))</f>
        <v>438</v>
      </c>
      <c r="B1722" s="25" t="s">
        <v>2457</v>
      </c>
      <c r="C1722" s="57" t="s">
        <v>1944</v>
      </c>
      <c r="D1722" s="247"/>
      <c r="E1722" s="13">
        <v>3501000</v>
      </c>
      <c r="F1722" s="13">
        <v>3501000</v>
      </c>
      <c r="G1722" s="125">
        <f t="shared" si="46"/>
        <v>0</v>
      </c>
      <c r="H1722" s="247"/>
    </row>
    <row r="1723" spans="1:8" ht="16.5">
      <c r="A1723" s="3">
        <f>IF(F1723="","",COUNTA($F$1249:F1723))</f>
        <v>439</v>
      </c>
      <c r="B1723" s="25" t="s">
        <v>2458</v>
      </c>
      <c r="C1723" s="57" t="s">
        <v>1944</v>
      </c>
      <c r="D1723" s="247"/>
      <c r="E1723" s="13">
        <v>3827000</v>
      </c>
      <c r="F1723" s="13">
        <v>3827000</v>
      </c>
      <c r="G1723" s="125">
        <f t="shared" si="46"/>
        <v>0</v>
      </c>
      <c r="H1723" s="247"/>
    </row>
    <row r="1724" spans="1:8" ht="16.5">
      <c r="A1724" s="3">
        <f>IF(F1724="","",COUNTA($F$1249:F1724))</f>
        <v>440</v>
      </c>
      <c r="B1724" s="25" t="s">
        <v>2459</v>
      </c>
      <c r="C1724" s="57" t="s">
        <v>1944</v>
      </c>
      <c r="D1724" s="247"/>
      <c r="E1724" s="13">
        <v>4477000</v>
      </c>
      <c r="F1724" s="13">
        <v>4477000</v>
      </c>
      <c r="G1724" s="125">
        <f t="shared" si="46"/>
        <v>0</v>
      </c>
      <c r="H1724" s="247"/>
    </row>
    <row r="1725" spans="1:8" ht="16.5">
      <c r="A1725" s="3">
        <f>IF(F1725="","",COUNTA($F$1249:F1725))</f>
        <v>441</v>
      </c>
      <c r="B1725" s="25" t="s">
        <v>2460</v>
      </c>
      <c r="C1725" s="57" t="s">
        <v>1944</v>
      </c>
      <c r="D1725" s="247"/>
      <c r="E1725" s="13">
        <v>5732000</v>
      </c>
      <c r="F1725" s="13">
        <v>5732000</v>
      </c>
      <c r="G1725" s="125">
        <f t="shared" si="46"/>
        <v>0</v>
      </c>
      <c r="H1725" s="247"/>
    </row>
    <row r="1726" spans="1:8" ht="16.5">
      <c r="A1726" s="3">
        <f>IF(F1726="","",COUNTA($F$1249:F1726))</f>
        <v>442</v>
      </c>
      <c r="B1726" s="25" t="s">
        <v>2461</v>
      </c>
      <c r="C1726" s="57" t="s">
        <v>1944</v>
      </c>
      <c r="D1726" s="247"/>
      <c r="E1726" s="13">
        <v>6153000</v>
      </c>
      <c r="F1726" s="13">
        <v>6153000</v>
      </c>
      <c r="G1726" s="125">
        <f t="shared" si="46"/>
        <v>0</v>
      </c>
      <c r="H1726" s="247"/>
    </row>
    <row r="1727" spans="1:8" ht="16.5">
      <c r="A1727" s="3">
        <f>IF(F1727="","",COUNTA($F$1249:F1727))</f>
        <v>443</v>
      </c>
      <c r="B1727" s="25" t="s">
        <v>2462</v>
      </c>
      <c r="C1727" s="57" t="s">
        <v>1944</v>
      </c>
      <c r="D1727" s="247"/>
      <c r="E1727" s="13">
        <v>7303000</v>
      </c>
      <c r="F1727" s="13">
        <v>7303000</v>
      </c>
      <c r="G1727" s="125">
        <f t="shared" si="46"/>
        <v>0</v>
      </c>
      <c r="H1727" s="247"/>
    </row>
    <row r="1728" spans="1:8" ht="16.5">
      <c r="A1728" s="3">
        <f>IF(F1728="","",COUNTA($F$1249:F1728))</f>
        <v>444</v>
      </c>
      <c r="B1728" s="25" t="s">
        <v>2463</v>
      </c>
      <c r="C1728" s="57" t="s">
        <v>1944</v>
      </c>
      <c r="D1728" s="247"/>
      <c r="E1728" s="13">
        <v>8613000</v>
      </c>
      <c r="F1728" s="13">
        <v>8613000</v>
      </c>
      <c r="G1728" s="125">
        <f t="shared" si="46"/>
        <v>0</v>
      </c>
      <c r="H1728" s="247"/>
    </row>
    <row r="1729" spans="1:8" ht="16.5">
      <c r="A1729" s="3">
        <f>IF(F1729="","",COUNTA($F$1249:F1729))</f>
        <v>445</v>
      </c>
      <c r="B1729" s="25" t="s">
        <v>2464</v>
      </c>
      <c r="C1729" s="57" t="s">
        <v>1944</v>
      </c>
      <c r="D1729" s="247"/>
      <c r="E1729" s="13">
        <v>9435000</v>
      </c>
      <c r="F1729" s="13">
        <v>9435000</v>
      </c>
      <c r="G1729" s="125">
        <f t="shared" si="46"/>
        <v>0</v>
      </c>
      <c r="H1729" s="247"/>
    </row>
    <row r="1730" spans="1:8" ht="16.5">
      <c r="A1730" s="3">
        <f>IF(F1730="","",COUNTA($F$1249:F1730))</f>
        <v>446</v>
      </c>
      <c r="B1730" s="25" t="s">
        <v>2465</v>
      </c>
      <c r="C1730" s="57" t="s">
        <v>1944</v>
      </c>
      <c r="D1730" s="247"/>
      <c r="E1730" s="13">
        <v>10566000</v>
      </c>
      <c r="F1730" s="13">
        <v>10566000</v>
      </c>
      <c r="G1730" s="125">
        <f aca="true" t="shared" si="47" ref="G1730:G1793">(E1730-F1730)/E1730</f>
        <v>0</v>
      </c>
      <c r="H1730" s="247"/>
    </row>
    <row r="1731" spans="1:8" ht="16.5">
      <c r="A1731" s="3">
        <f>IF(F1731="","",COUNTA($F$1249:F1731))</f>
      </c>
      <c r="B1731" s="37" t="s">
        <v>152</v>
      </c>
      <c r="C1731" s="57"/>
      <c r="E1731" s="13"/>
      <c r="F1731" s="13"/>
      <c r="G1731" s="125" t="e">
        <f t="shared" si="47"/>
        <v>#DIV/0!</v>
      </c>
      <c r="H1731" s="247"/>
    </row>
    <row r="1732" spans="1:8" ht="16.5">
      <c r="A1732" s="3">
        <f>IF(F1732="","",COUNTA($F$1249:F1732))</f>
        <v>447</v>
      </c>
      <c r="B1732" s="25" t="s">
        <v>2454</v>
      </c>
      <c r="C1732" s="57" t="s">
        <v>1944</v>
      </c>
      <c r="D1732" s="247" t="s">
        <v>141</v>
      </c>
      <c r="E1732" s="13">
        <v>1776000</v>
      </c>
      <c r="F1732" s="13">
        <v>1776000</v>
      </c>
      <c r="G1732" s="125">
        <f t="shared" si="47"/>
        <v>0</v>
      </c>
      <c r="H1732" s="247"/>
    </row>
    <row r="1733" spans="1:8" ht="16.5">
      <c r="A1733" s="3">
        <f>IF(F1733="","",COUNTA($F$1249:F1733))</f>
        <v>448</v>
      </c>
      <c r="B1733" s="25" t="s">
        <v>1960</v>
      </c>
      <c r="C1733" s="57" t="s">
        <v>1944</v>
      </c>
      <c r="D1733" s="247"/>
      <c r="E1733" s="13">
        <v>1843000</v>
      </c>
      <c r="F1733" s="13">
        <v>1843000</v>
      </c>
      <c r="G1733" s="125">
        <f t="shared" si="47"/>
        <v>0</v>
      </c>
      <c r="H1733" s="247"/>
    </row>
    <row r="1734" spans="1:8" ht="16.5">
      <c r="A1734" s="3">
        <f>IF(F1734="","",COUNTA($F$1249:F1734))</f>
        <v>449</v>
      </c>
      <c r="B1734" s="25" t="s">
        <v>2456</v>
      </c>
      <c r="C1734" s="57" t="s">
        <v>1944</v>
      </c>
      <c r="D1734" s="247"/>
      <c r="E1734" s="13">
        <v>2634000</v>
      </c>
      <c r="F1734" s="13">
        <v>2634000</v>
      </c>
      <c r="G1734" s="125">
        <f t="shared" si="47"/>
        <v>0</v>
      </c>
      <c r="H1734" s="247"/>
    </row>
    <row r="1735" spans="1:8" ht="16.5">
      <c r="A1735" s="3">
        <f>IF(F1735="","",COUNTA($F$1249:F1735))</f>
        <v>450</v>
      </c>
      <c r="B1735" s="25" t="s">
        <v>2458</v>
      </c>
      <c r="C1735" s="57" t="s">
        <v>1944</v>
      </c>
      <c r="D1735" s="247"/>
      <c r="E1735" s="13">
        <v>3686000</v>
      </c>
      <c r="F1735" s="13">
        <v>3686000</v>
      </c>
      <c r="G1735" s="125">
        <f t="shared" si="47"/>
        <v>0</v>
      </c>
      <c r="H1735" s="247"/>
    </row>
    <row r="1736" spans="1:8" ht="16.5">
      <c r="A1736" s="3">
        <f>IF(F1736="","",COUNTA($F$1249:F1736))</f>
        <v>451</v>
      </c>
      <c r="B1736" s="25" t="s">
        <v>2459</v>
      </c>
      <c r="C1736" s="57" t="s">
        <v>1944</v>
      </c>
      <c r="D1736" s="247"/>
      <c r="E1736" s="13">
        <v>4367000</v>
      </c>
      <c r="F1736" s="13">
        <v>4367000</v>
      </c>
      <c r="G1736" s="125">
        <f t="shared" si="47"/>
        <v>0</v>
      </c>
      <c r="H1736" s="247"/>
    </row>
    <row r="1737" spans="1:8" ht="16.5">
      <c r="A1737" s="3">
        <f>IF(F1737="","",COUNTA($F$1249:F1737))</f>
        <v>452</v>
      </c>
      <c r="B1737" s="25" t="s">
        <v>1971</v>
      </c>
      <c r="C1737" s="57" t="s">
        <v>1944</v>
      </c>
      <c r="D1737" s="247"/>
      <c r="E1737" s="13">
        <v>4854000</v>
      </c>
      <c r="F1737" s="13">
        <v>4854000</v>
      </c>
      <c r="G1737" s="125">
        <f t="shared" si="47"/>
        <v>0</v>
      </c>
      <c r="H1737" s="247"/>
    </row>
    <row r="1738" spans="1:8" ht="16.5">
      <c r="A1738" s="3">
        <f>IF(F1738="","",COUNTA($F$1249:F1738))</f>
        <v>453</v>
      </c>
      <c r="B1738" s="25" t="s">
        <v>2461</v>
      </c>
      <c r="C1738" s="57" t="s">
        <v>1944</v>
      </c>
      <c r="D1738" s="247"/>
      <c r="E1738" s="13">
        <v>6098000</v>
      </c>
      <c r="F1738" s="13">
        <v>6098000</v>
      </c>
      <c r="G1738" s="125">
        <f t="shared" si="47"/>
        <v>0</v>
      </c>
      <c r="H1738" s="247"/>
    </row>
    <row r="1739" spans="1:8" ht="16.5">
      <c r="A1739" s="3">
        <f>IF(F1739="","",COUNTA($F$1249:F1739))</f>
        <v>454</v>
      </c>
      <c r="B1739" s="25" t="s">
        <v>2462</v>
      </c>
      <c r="C1739" s="57" t="s">
        <v>1944</v>
      </c>
      <c r="D1739" s="247"/>
      <c r="E1739" s="13">
        <v>6198000</v>
      </c>
      <c r="F1739" s="13">
        <v>6198000</v>
      </c>
      <c r="G1739" s="125">
        <f t="shared" si="47"/>
        <v>0</v>
      </c>
      <c r="H1739" s="247"/>
    </row>
    <row r="1740" spans="1:8" ht="16.5">
      <c r="A1740" s="3">
        <f>IF(F1740="","",COUNTA($F$1249:F1740))</f>
        <v>455</v>
      </c>
      <c r="B1740" s="25" t="s">
        <v>2451</v>
      </c>
      <c r="C1740" s="57" t="s">
        <v>1944</v>
      </c>
      <c r="D1740" s="247"/>
      <c r="E1740" s="13">
        <v>8392000</v>
      </c>
      <c r="F1740" s="13">
        <v>8392000</v>
      </c>
      <c r="G1740" s="125">
        <f t="shared" si="47"/>
        <v>0</v>
      </c>
      <c r="H1740" s="247"/>
    </row>
    <row r="1741" spans="1:8" ht="16.5">
      <c r="A1741" s="3">
        <f>IF(F1741="","",COUNTA($F$1249:F1741))</f>
      </c>
      <c r="B1741" s="37" t="s">
        <v>153</v>
      </c>
      <c r="C1741" s="57"/>
      <c r="E1741" s="13"/>
      <c r="F1741" s="13"/>
      <c r="G1741" s="125" t="e">
        <f t="shared" si="47"/>
        <v>#DIV/0!</v>
      </c>
      <c r="H1741" s="247"/>
    </row>
    <row r="1742" spans="1:8" ht="16.5">
      <c r="A1742" s="3">
        <f>IF(F1742="","",COUNTA($F$1249:F1742))</f>
        <v>456</v>
      </c>
      <c r="B1742" s="25" t="s">
        <v>1959</v>
      </c>
      <c r="C1742" s="57" t="s">
        <v>1944</v>
      </c>
      <c r="D1742" s="247" t="s">
        <v>141</v>
      </c>
      <c r="E1742" s="13">
        <v>1776000</v>
      </c>
      <c r="F1742" s="13">
        <v>1776000</v>
      </c>
      <c r="G1742" s="125">
        <f t="shared" si="47"/>
        <v>0</v>
      </c>
      <c r="H1742" s="247"/>
    </row>
    <row r="1743" spans="1:8" ht="16.5">
      <c r="A1743" s="3">
        <f>IF(F1743="","",COUNTA($F$1249:F1743))</f>
        <v>457</v>
      </c>
      <c r="B1743" s="25" t="s">
        <v>2454</v>
      </c>
      <c r="C1743" s="57" t="s">
        <v>1944</v>
      </c>
      <c r="D1743" s="247"/>
      <c r="E1743" s="13">
        <v>2250000</v>
      </c>
      <c r="F1743" s="13">
        <v>2250000</v>
      </c>
      <c r="G1743" s="125">
        <f t="shared" si="47"/>
        <v>0</v>
      </c>
      <c r="H1743" s="247"/>
    </row>
    <row r="1744" spans="1:8" ht="16.5">
      <c r="A1744" s="3">
        <f>IF(F1744="","",COUNTA($F$1249:F1744))</f>
        <v>458</v>
      </c>
      <c r="B1744" s="25" t="s">
        <v>1960</v>
      </c>
      <c r="C1744" s="57" t="s">
        <v>1944</v>
      </c>
      <c r="D1744" s="247"/>
      <c r="E1744" s="13">
        <v>2265000</v>
      </c>
      <c r="F1744" s="13">
        <v>2265000</v>
      </c>
      <c r="G1744" s="125">
        <f t="shared" si="47"/>
        <v>0</v>
      </c>
      <c r="H1744" s="247"/>
    </row>
    <row r="1745" spans="1:8" ht="16.5">
      <c r="A1745" s="3">
        <f>IF(F1745="","",COUNTA($F$1249:F1745))</f>
        <v>459</v>
      </c>
      <c r="B1745" s="25" t="s">
        <v>2455</v>
      </c>
      <c r="C1745" s="57" t="s">
        <v>1944</v>
      </c>
      <c r="D1745" s="247"/>
      <c r="E1745" s="13">
        <v>3656000</v>
      </c>
      <c r="F1745" s="13">
        <v>3656000</v>
      </c>
      <c r="G1745" s="125">
        <f t="shared" si="47"/>
        <v>0</v>
      </c>
      <c r="H1745" s="247"/>
    </row>
    <row r="1746" spans="1:8" ht="16.5">
      <c r="A1746" s="3">
        <f>IF(F1746="","",COUNTA($F$1249:F1746))</f>
        <v>460</v>
      </c>
      <c r="B1746" s="25" t="s">
        <v>2456</v>
      </c>
      <c r="C1746" s="57" t="s">
        <v>1944</v>
      </c>
      <c r="D1746" s="247"/>
      <c r="E1746" s="13">
        <v>3670000</v>
      </c>
      <c r="F1746" s="13">
        <v>3670000</v>
      </c>
      <c r="G1746" s="125">
        <f t="shared" si="47"/>
        <v>0</v>
      </c>
      <c r="H1746" s="247"/>
    </row>
    <row r="1747" spans="1:8" ht="16.5">
      <c r="A1747" s="3">
        <f>IF(F1747="","",COUNTA($F$1249:F1747))</f>
        <v>461</v>
      </c>
      <c r="B1747" s="25" t="s">
        <v>1970</v>
      </c>
      <c r="C1747" s="57" t="s">
        <v>1944</v>
      </c>
      <c r="D1747" s="247"/>
      <c r="E1747" s="13">
        <v>4056000</v>
      </c>
      <c r="F1747" s="13">
        <v>4056000</v>
      </c>
      <c r="G1747" s="125">
        <f t="shared" si="47"/>
        <v>0</v>
      </c>
      <c r="H1747" s="247"/>
    </row>
    <row r="1748" spans="1:8" ht="16.5">
      <c r="A1748" s="3">
        <f>IF(F1748="","",COUNTA($F$1249:F1748))</f>
        <v>462</v>
      </c>
      <c r="B1748" s="25" t="s">
        <v>2457</v>
      </c>
      <c r="C1748" s="57" t="s">
        <v>1944</v>
      </c>
      <c r="D1748" s="247"/>
      <c r="E1748" s="13">
        <v>5403000</v>
      </c>
      <c r="F1748" s="13">
        <v>5403000</v>
      </c>
      <c r="G1748" s="125">
        <f t="shared" si="47"/>
        <v>0</v>
      </c>
      <c r="H1748" s="247"/>
    </row>
    <row r="1749" spans="1:8" ht="16.5">
      <c r="A1749" s="3">
        <f>IF(F1749="","",COUNTA($F$1249:F1749))</f>
        <v>463</v>
      </c>
      <c r="B1749" s="25" t="s">
        <v>2458</v>
      </c>
      <c r="C1749" s="57" t="s">
        <v>1944</v>
      </c>
      <c r="D1749" s="247"/>
      <c r="E1749" s="13">
        <v>5476000</v>
      </c>
      <c r="F1749" s="13">
        <v>5476000</v>
      </c>
      <c r="G1749" s="125">
        <f t="shared" si="47"/>
        <v>0</v>
      </c>
      <c r="H1749" s="247"/>
    </row>
    <row r="1750" spans="1:8" ht="16.5">
      <c r="A1750" s="3">
        <f>IF(F1750="","",COUNTA($F$1249:F1750))</f>
        <v>464</v>
      </c>
      <c r="B1750" s="25" t="s">
        <v>2459</v>
      </c>
      <c r="C1750" s="57" t="s">
        <v>1944</v>
      </c>
      <c r="D1750" s="247"/>
      <c r="E1750" s="13">
        <v>5832000</v>
      </c>
      <c r="F1750" s="13">
        <v>5832000</v>
      </c>
      <c r="G1750" s="125">
        <f t="shared" si="47"/>
        <v>0</v>
      </c>
      <c r="H1750" s="247"/>
    </row>
    <row r="1751" spans="1:8" ht="16.5">
      <c r="A1751" s="3">
        <f>IF(F1751="","",COUNTA($F$1249:F1751))</f>
        <v>465</v>
      </c>
      <c r="B1751" s="25" t="s">
        <v>1971</v>
      </c>
      <c r="C1751" s="57" t="s">
        <v>1944</v>
      </c>
      <c r="D1751" s="247"/>
      <c r="E1751" s="13">
        <v>6557000</v>
      </c>
      <c r="F1751" s="13">
        <v>6557000</v>
      </c>
      <c r="G1751" s="125">
        <f t="shared" si="47"/>
        <v>0</v>
      </c>
      <c r="H1751" s="247"/>
    </row>
    <row r="1752" spans="1:8" ht="16.5">
      <c r="A1752" s="3">
        <f>IF(F1752="","",COUNTA($F$1249:F1752))</f>
        <v>466</v>
      </c>
      <c r="B1752" s="25" t="s">
        <v>2463</v>
      </c>
      <c r="C1752" s="57" t="s">
        <v>1944</v>
      </c>
      <c r="D1752" s="247"/>
      <c r="E1752" s="13">
        <v>11323000</v>
      </c>
      <c r="F1752" s="13">
        <v>11323000</v>
      </c>
      <c r="G1752" s="125">
        <f t="shared" si="47"/>
        <v>0</v>
      </c>
      <c r="H1752" s="247"/>
    </row>
    <row r="1753" spans="1:8" ht="16.5">
      <c r="A1753" s="3">
        <f>IF(F1753="","",COUNTA($F$1249:F1753))</f>
        <v>467</v>
      </c>
      <c r="B1753" s="25" t="s">
        <v>2466</v>
      </c>
      <c r="C1753" s="57" t="s">
        <v>1944</v>
      </c>
      <c r="D1753" s="247"/>
      <c r="E1753" s="13">
        <v>11544000</v>
      </c>
      <c r="F1753" s="13">
        <v>11544000</v>
      </c>
      <c r="G1753" s="125">
        <f t="shared" si="47"/>
        <v>0</v>
      </c>
      <c r="H1753" s="247"/>
    </row>
    <row r="1754" spans="1:8" ht="33">
      <c r="A1754" s="3">
        <f>IF(F1754="","",COUNTA($F$1249:F1754))</f>
      </c>
      <c r="B1754" s="37" t="s">
        <v>154</v>
      </c>
      <c r="C1754" s="57"/>
      <c r="E1754" s="13"/>
      <c r="F1754" s="13"/>
      <c r="G1754" s="125" t="e">
        <f t="shared" si="47"/>
        <v>#DIV/0!</v>
      </c>
      <c r="H1754" s="247"/>
    </row>
    <row r="1755" spans="1:8" ht="16.5">
      <c r="A1755" s="3">
        <f>IF(F1755="","",COUNTA($F$1249:F1755))</f>
        <v>468</v>
      </c>
      <c r="B1755" s="25" t="s">
        <v>1957</v>
      </c>
      <c r="C1755" s="57" t="s">
        <v>1969</v>
      </c>
      <c r="D1755" s="247" t="s">
        <v>155</v>
      </c>
      <c r="E1755" s="13">
        <v>473000</v>
      </c>
      <c r="F1755" s="13">
        <v>473000</v>
      </c>
      <c r="G1755" s="125">
        <f t="shared" si="47"/>
        <v>0</v>
      </c>
      <c r="H1755" s="247"/>
    </row>
    <row r="1756" spans="1:8" ht="16.5">
      <c r="A1756" s="3">
        <f>IF(F1756="","",COUNTA($F$1249:F1756))</f>
        <v>469</v>
      </c>
      <c r="B1756" s="25" t="s">
        <v>1958</v>
      </c>
      <c r="C1756" s="57" t="s">
        <v>1969</v>
      </c>
      <c r="D1756" s="247"/>
      <c r="E1756" s="13">
        <v>554000</v>
      </c>
      <c r="F1756" s="13">
        <v>554000</v>
      </c>
      <c r="G1756" s="125">
        <f t="shared" si="47"/>
        <v>0</v>
      </c>
      <c r="H1756" s="247"/>
    </row>
    <row r="1757" spans="1:8" ht="16.5">
      <c r="A1757" s="3">
        <f>IF(F1757="","",COUNTA($F$1249:F1757))</f>
        <v>470</v>
      </c>
      <c r="B1757" s="25" t="s">
        <v>1959</v>
      </c>
      <c r="C1757" s="57" t="s">
        <v>1969</v>
      </c>
      <c r="D1757" s="247"/>
      <c r="E1757" s="13">
        <v>644000</v>
      </c>
      <c r="F1757" s="13">
        <v>644000</v>
      </c>
      <c r="G1757" s="125">
        <f t="shared" si="47"/>
        <v>0</v>
      </c>
      <c r="H1757" s="247"/>
    </row>
    <row r="1758" spans="1:8" ht="16.5">
      <c r="A1758" s="3">
        <f>IF(F1758="","",COUNTA($F$1249:F1758))</f>
        <v>471</v>
      </c>
      <c r="B1758" s="25" t="s">
        <v>1960</v>
      </c>
      <c r="C1758" s="57" t="s">
        <v>1969</v>
      </c>
      <c r="D1758" s="247"/>
      <c r="E1758" s="13">
        <v>833000</v>
      </c>
      <c r="F1758" s="13">
        <v>833000</v>
      </c>
      <c r="G1758" s="125">
        <f t="shared" si="47"/>
        <v>0</v>
      </c>
      <c r="H1758" s="247"/>
    </row>
    <row r="1759" spans="1:8" ht="16.5">
      <c r="A1759" s="3">
        <f>IF(F1759="","",COUNTA($F$1249:F1759))</f>
        <v>472</v>
      </c>
      <c r="B1759" s="25" t="s">
        <v>2467</v>
      </c>
      <c r="C1759" s="57" t="s">
        <v>1969</v>
      </c>
      <c r="D1759" s="247"/>
      <c r="E1759" s="13">
        <v>988000</v>
      </c>
      <c r="F1759" s="13">
        <v>988000</v>
      </c>
      <c r="G1759" s="125">
        <f t="shared" si="47"/>
        <v>0</v>
      </c>
      <c r="H1759" s="247"/>
    </row>
    <row r="1760" spans="1:8" ht="16.5">
      <c r="A1760" s="3">
        <f>IF(F1760="","",COUNTA($F$1249:F1760))</f>
        <v>473</v>
      </c>
      <c r="B1760" s="25" t="s">
        <v>1970</v>
      </c>
      <c r="C1760" s="57" t="s">
        <v>1969</v>
      </c>
      <c r="D1760" s="247"/>
      <c r="E1760" s="13">
        <v>1145000</v>
      </c>
      <c r="F1760" s="13">
        <v>1145000</v>
      </c>
      <c r="G1760" s="125">
        <f t="shared" si="47"/>
        <v>0</v>
      </c>
      <c r="H1760" s="247"/>
    </row>
    <row r="1761" spans="1:8" ht="16.5">
      <c r="A1761" s="3">
        <f>IF(F1761="","",COUNTA($F$1249:F1761))</f>
        <v>474</v>
      </c>
      <c r="B1761" s="25" t="s">
        <v>1971</v>
      </c>
      <c r="C1761" s="57" t="s">
        <v>1969</v>
      </c>
      <c r="D1761" s="247"/>
      <c r="E1761" s="13">
        <v>1597000</v>
      </c>
      <c r="F1761" s="13">
        <v>1597000</v>
      </c>
      <c r="G1761" s="125">
        <f t="shared" si="47"/>
        <v>0</v>
      </c>
      <c r="H1761" s="247"/>
    </row>
    <row r="1762" spans="1:8" ht="16.5">
      <c r="A1762" s="3">
        <f>IF(F1762="","",COUNTA($F$1249:F1762))</f>
        <v>475</v>
      </c>
      <c r="B1762" s="25" t="s">
        <v>2451</v>
      </c>
      <c r="C1762" s="57" t="s">
        <v>1969</v>
      </c>
      <c r="D1762" s="247"/>
      <c r="E1762" s="13">
        <v>2791000</v>
      </c>
      <c r="F1762" s="13">
        <v>2791000</v>
      </c>
      <c r="G1762" s="125">
        <f t="shared" si="47"/>
        <v>0</v>
      </c>
      <c r="H1762" s="247"/>
    </row>
    <row r="1763" spans="1:8" ht="16.5">
      <c r="A1763" s="3">
        <f>IF(F1763="","",COUNTA($F$1249:F1763))</f>
        <v>476</v>
      </c>
      <c r="B1763" s="25" t="s">
        <v>2452</v>
      </c>
      <c r="C1763" s="57" t="s">
        <v>1969</v>
      </c>
      <c r="D1763" s="247"/>
      <c r="E1763" s="13">
        <v>3258000</v>
      </c>
      <c r="F1763" s="13">
        <v>3258000</v>
      </c>
      <c r="G1763" s="125">
        <f t="shared" si="47"/>
        <v>0</v>
      </c>
      <c r="H1763" s="247"/>
    </row>
    <row r="1764" spans="1:8" ht="16.5">
      <c r="A1764" s="3">
        <f>IF(F1764="","",COUNTA($F$1249:F1764))</f>
        <v>477</v>
      </c>
      <c r="B1764" s="25" t="s">
        <v>2453</v>
      </c>
      <c r="C1764" s="57" t="s">
        <v>1969</v>
      </c>
      <c r="D1764" s="247"/>
      <c r="E1764" s="13">
        <v>5922000</v>
      </c>
      <c r="F1764" s="13">
        <v>5922000</v>
      </c>
      <c r="G1764" s="125">
        <f t="shared" si="47"/>
        <v>0</v>
      </c>
      <c r="H1764" s="247"/>
    </row>
    <row r="1765" spans="1:8" ht="33">
      <c r="A1765" s="3">
        <f>IF(F1765="","",COUNTA($F$1249:F1765))</f>
      </c>
      <c r="B1765" s="37" t="s">
        <v>157</v>
      </c>
      <c r="C1765" s="57"/>
      <c r="E1765" s="13"/>
      <c r="F1765" s="13"/>
      <c r="G1765" s="125"/>
      <c r="H1765" s="247"/>
    </row>
    <row r="1766" spans="1:8" ht="16.5">
      <c r="A1766" s="3">
        <f>IF(F1766="","",COUNTA($F$1249:F1766))</f>
        <v>478</v>
      </c>
      <c r="B1766" s="25" t="s">
        <v>1957</v>
      </c>
      <c r="C1766" s="57" t="s">
        <v>1969</v>
      </c>
      <c r="D1766" s="247" t="s">
        <v>156</v>
      </c>
      <c r="E1766" s="13">
        <v>473000</v>
      </c>
      <c r="F1766" s="13">
        <v>473000</v>
      </c>
      <c r="G1766" s="125">
        <f t="shared" si="47"/>
        <v>0</v>
      </c>
      <c r="H1766" s="247"/>
    </row>
    <row r="1767" spans="1:8" ht="16.5">
      <c r="A1767" s="3">
        <f>IF(F1767="","",COUNTA($F$1249:F1767))</f>
        <v>479</v>
      </c>
      <c r="B1767" s="25" t="s">
        <v>1958</v>
      </c>
      <c r="C1767" s="57" t="s">
        <v>1969</v>
      </c>
      <c r="D1767" s="247"/>
      <c r="E1767" s="13">
        <v>629000</v>
      </c>
      <c r="F1767" s="13">
        <v>629000</v>
      </c>
      <c r="G1767" s="125">
        <f t="shared" si="47"/>
        <v>0</v>
      </c>
      <c r="H1767" s="247"/>
    </row>
    <row r="1768" spans="1:8" ht="16.5">
      <c r="A1768" s="3">
        <f>IF(F1768="","",COUNTA($F$1249:F1768))</f>
        <v>480</v>
      </c>
      <c r="B1768" s="25" t="s">
        <v>1959</v>
      </c>
      <c r="C1768" s="57" t="s">
        <v>1969</v>
      </c>
      <c r="D1768" s="247"/>
      <c r="E1768" s="13">
        <v>643000</v>
      </c>
      <c r="F1768" s="13">
        <v>643000</v>
      </c>
      <c r="G1768" s="125">
        <f t="shared" si="47"/>
        <v>0</v>
      </c>
      <c r="H1768" s="247"/>
    </row>
    <row r="1769" spans="1:8" ht="16.5">
      <c r="A1769" s="3">
        <f>IF(F1769="","",COUNTA($F$1249:F1769))</f>
        <v>481</v>
      </c>
      <c r="B1769" s="25" t="s">
        <v>1960</v>
      </c>
      <c r="C1769" s="57" t="s">
        <v>1969</v>
      </c>
      <c r="D1769" s="247"/>
      <c r="E1769" s="13">
        <v>756000</v>
      </c>
      <c r="F1769" s="13">
        <v>756000</v>
      </c>
      <c r="G1769" s="125">
        <f t="shared" si="47"/>
        <v>0</v>
      </c>
      <c r="H1769" s="247"/>
    </row>
    <row r="1770" spans="1:8" ht="16.5">
      <c r="A1770" s="3">
        <f>IF(F1770="","",COUNTA($F$1249:F1770))</f>
        <v>482</v>
      </c>
      <c r="B1770" s="25" t="s">
        <v>2467</v>
      </c>
      <c r="C1770" s="57" t="s">
        <v>1969</v>
      </c>
      <c r="D1770" s="247"/>
      <c r="E1770" s="13">
        <v>988000</v>
      </c>
      <c r="F1770" s="13">
        <v>988000</v>
      </c>
      <c r="G1770" s="125">
        <f t="shared" si="47"/>
        <v>0</v>
      </c>
      <c r="H1770" s="247"/>
    </row>
    <row r="1771" spans="1:8" ht="16.5">
      <c r="A1771" s="3">
        <f>IF(F1771="","",COUNTA($F$1249:F1771))</f>
        <v>483</v>
      </c>
      <c r="B1771" s="25" t="s">
        <v>1970</v>
      </c>
      <c r="C1771" s="57" t="s">
        <v>1969</v>
      </c>
      <c r="D1771" s="247"/>
      <c r="E1771" s="13">
        <v>1197000</v>
      </c>
      <c r="F1771" s="13">
        <v>1197000</v>
      </c>
      <c r="G1771" s="125">
        <f t="shared" si="47"/>
        <v>0</v>
      </c>
      <c r="H1771" s="247"/>
    </row>
    <row r="1772" spans="1:8" ht="16.5">
      <c r="A1772" s="3">
        <f>IF(F1772="","",COUNTA($F$1249:F1772))</f>
        <v>484</v>
      </c>
      <c r="B1772" s="25" t="s">
        <v>1971</v>
      </c>
      <c r="C1772" s="57" t="s">
        <v>1969</v>
      </c>
      <c r="D1772" s="247"/>
      <c r="E1772" s="13">
        <v>1579000</v>
      </c>
      <c r="F1772" s="13">
        <v>1579000</v>
      </c>
      <c r="G1772" s="125">
        <f t="shared" si="47"/>
        <v>0</v>
      </c>
      <c r="H1772" s="247"/>
    </row>
    <row r="1773" spans="1:8" ht="16.5">
      <c r="A1773" s="3">
        <f>IF(F1773="","",COUNTA($F$1249:F1773))</f>
        <v>485</v>
      </c>
      <c r="B1773" s="25" t="s">
        <v>2451</v>
      </c>
      <c r="C1773" s="57" t="s">
        <v>1969</v>
      </c>
      <c r="D1773" s="247"/>
      <c r="E1773" s="13">
        <v>2369000</v>
      </c>
      <c r="F1773" s="13">
        <v>2369000</v>
      </c>
      <c r="G1773" s="125">
        <f t="shared" si="47"/>
        <v>0</v>
      </c>
      <c r="H1773" s="247"/>
    </row>
    <row r="1774" spans="1:8" ht="16.5">
      <c r="A1774" s="3">
        <f>IF(F1774="","",COUNTA($F$1249:F1774))</f>
        <v>486</v>
      </c>
      <c r="B1774" s="25" t="s">
        <v>2452</v>
      </c>
      <c r="C1774" s="57" t="s">
        <v>1969</v>
      </c>
      <c r="D1774" s="247"/>
      <c r="E1774" s="13">
        <v>3024000</v>
      </c>
      <c r="F1774" s="13">
        <v>3024000</v>
      </c>
      <c r="G1774" s="125">
        <f t="shared" si="47"/>
        <v>0</v>
      </c>
      <c r="H1774" s="247"/>
    </row>
    <row r="1775" spans="1:8" ht="16.5">
      <c r="A1775" s="3">
        <f>IF(F1775="","",COUNTA($F$1249:F1775))</f>
        <v>487</v>
      </c>
      <c r="B1775" s="25" t="s">
        <v>2453</v>
      </c>
      <c r="C1775" s="57" t="s">
        <v>1969</v>
      </c>
      <c r="D1775" s="247"/>
      <c r="E1775" s="13">
        <v>5330000</v>
      </c>
      <c r="F1775" s="13">
        <v>5330000</v>
      </c>
      <c r="G1775" s="125">
        <f t="shared" si="47"/>
        <v>0</v>
      </c>
      <c r="H1775" s="247"/>
    </row>
    <row r="1776" spans="1:8" ht="17.25">
      <c r="A1776" s="3">
        <f>IF(F1776="","",COUNTA($F$1249:F1776))</f>
      </c>
      <c r="B1776" s="31" t="s">
        <v>971</v>
      </c>
      <c r="C1776" s="70"/>
      <c r="E1776" s="10"/>
      <c r="F1776" s="10"/>
      <c r="G1776" s="125"/>
      <c r="H1776" s="247" t="s">
        <v>1212</v>
      </c>
    </row>
    <row r="1777" spans="1:8" ht="33">
      <c r="A1777" s="3">
        <f>IF(F1777="","",COUNTA($F$1249:F1777))</f>
        <v>488</v>
      </c>
      <c r="B1777" s="25" t="s">
        <v>2468</v>
      </c>
      <c r="C1777" s="57" t="s">
        <v>2792</v>
      </c>
      <c r="E1777" s="8">
        <v>12800</v>
      </c>
      <c r="F1777" s="8">
        <v>12800</v>
      </c>
      <c r="G1777" s="125">
        <f t="shared" si="47"/>
        <v>0</v>
      </c>
      <c r="H1777" s="247"/>
    </row>
    <row r="1778" spans="1:8" ht="33">
      <c r="A1778" s="3">
        <f>IF(F1778="","",COUNTA($F$1249:F1778))</f>
        <v>489</v>
      </c>
      <c r="B1778" s="25" t="s">
        <v>2469</v>
      </c>
      <c r="C1778" s="57" t="s">
        <v>2792</v>
      </c>
      <c r="E1778" s="8">
        <v>14900</v>
      </c>
      <c r="F1778" s="8">
        <v>14900</v>
      </c>
      <c r="G1778" s="125">
        <f t="shared" si="47"/>
        <v>0</v>
      </c>
      <c r="H1778" s="247"/>
    </row>
    <row r="1779" spans="1:8" ht="33">
      <c r="A1779" s="3">
        <f>IF(F1779="","",COUNTA($F$1249:F1779))</f>
        <v>490</v>
      </c>
      <c r="B1779" s="25" t="s">
        <v>2470</v>
      </c>
      <c r="C1779" s="57" t="s">
        <v>2792</v>
      </c>
      <c r="E1779" s="8">
        <v>21400</v>
      </c>
      <c r="F1779" s="8">
        <v>21400</v>
      </c>
      <c r="G1779" s="125">
        <f t="shared" si="47"/>
        <v>0</v>
      </c>
      <c r="H1779" s="247"/>
    </row>
    <row r="1780" spans="1:8" ht="33">
      <c r="A1780" s="3">
        <f>IF(F1780="","",COUNTA($F$1249:F1780))</f>
        <v>491</v>
      </c>
      <c r="B1780" s="25" t="s">
        <v>2471</v>
      </c>
      <c r="C1780" s="57" t="s">
        <v>2792</v>
      </c>
      <c r="E1780" s="8">
        <v>29300</v>
      </c>
      <c r="F1780" s="8">
        <v>29300</v>
      </c>
      <c r="G1780" s="125">
        <f t="shared" si="47"/>
        <v>0</v>
      </c>
      <c r="H1780" s="247"/>
    </row>
    <row r="1781" spans="1:8" ht="33">
      <c r="A1781" s="3">
        <f>IF(F1781="","",COUNTA($F$1249:F1781))</f>
        <v>492</v>
      </c>
      <c r="B1781" s="25" t="s">
        <v>2472</v>
      </c>
      <c r="C1781" s="57" t="s">
        <v>2792</v>
      </c>
      <c r="E1781" s="8">
        <v>42500</v>
      </c>
      <c r="F1781" s="8">
        <v>42500</v>
      </c>
      <c r="G1781" s="125">
        <f t="shared" si="47"/>
        <v>0</v>
      </c>
      <c r="H1781" s="247"/>
    </row>
    <row r="1782" spans="1:8" ht="33">
      <c r="A1782" s="3">
        <f>IF(F1782="","",COUNTA($F$1249:F1782))</f>
        <v>493</v>
      </c>
      <c r="B1782" s="25" t="s">
        <v>2473</v>
      </c>
      <c r="C1782" s="57" t="s">
        <v>2792</v>
      </c>
      <c r="E1782" s="8">
        <v>47800</v>
      </c>
      <c r="F1782" s="8">
        <v>47800</v>
      </c>
      <c r="G1782" s="125">
        <f t="shared" si="47"/>
        <v>0</v>
      </c>
      <c r="H1782" s="247"/>
    </row>
    <row r="1783" spans="1:8" ht="33">
      <c r="A1783" s="3">
        <f>IF(F1783="","",COUNTA($F$1249:F1783))</f>
        <v>494</v>
      </c>
      <c r="B1783" s="25" t="s">
        <v>2474</v>
      </c>
      <c r="C1783" s="57" t="s">
        <v>2792</v>
      </c>
      <c r="E1783" s="8">
        <v>55300</v>
      </c>
      <c r="F1783" s="8">
        <v>55300</v>
      </c>
      <c r="G1783" s="125">
        <f t="shared" si="47"/>
        <v>0</v>
      </c>
      <c r="H1783" s="247"/>
    </row>
    <row r="1784" spans="1:8" ht="33">
      <c r="A1784" s="3">
        <f>IF(F1784="","",COUNTA($F$1249:F1784))</f>
        <v>495</v>
      </c>
      <c r="B1784" s="25" t="s">
        <v>2475</v>
      </c>
      <c r="C1784" s="57" t="s">
        <v>2792</v>
      </c>
      <c r="E1784" s="8">
        <v>63600</v>
      </c>
      <c r="F1784" s="8">
        <v>63600</v>
      </c>
      <c r="G1784" s="125">
        <f t="shared" si="47"/>
        <v>0</v>
      </c>
      <c r="H1784" s="247"/>
    </row>
    <row r="1785" spans="1:8" ht="33">
      <c r="A1785" s="3">
        <f>IF(F1785="","",COUNTA($F$1249:F1785))</f>
        <v>496</v>
      </c>
      <c r="B1785" s="25" t="s">
        <v>2476</v>
      </c>
      <c r="C1785" s="57" t="s">
        <v>2792</v>
      </c>
      <c r="E1785" s="8">
        <v>78100</v>
      </c>
      <c r="F1785" s="8">
        <v>78100</v>
      </c>
      <c r="G1785" s="125">
        <f t="shared" si="47"/>
        <v>0</v>
      </c>
      <c r="H1785" s="247"/>
    </row>
    <row r="1786" spans="1:8" ht="33">
      <c r="A1786" s="3">
        <f>IF(F1786="","",COUNTA($F$1249:F1786))</f>
        <v>497</v>
      </c>
      <c r="B1786" s="25" t="s">
        <v>2477</v>
      </c>
      <c r="C1786" s="57" t="s">
        <v>2792</v>
      </c>
      <c r="E1786" s="8">
        <v>121400</v>
      </c>
      <c r="F1786" s="8">
        <v>121400</v>
      </c>
      <c r="G1786" s="125">
        <f t="shared" si="47"/>
        <v>0</v>
      </c>
      <c r="H1786" s="247"/>
    </row>
    <row r="1787" spans="1:8" ht="33">
      <c r="A1787" s="3">
        <f>IF(F1787="","",COUNTA($F$1249:F1787))</f>
        <v>498</v>
      </c>
      <c r="B1787" s="25" t="s">
        <v>2478</v>
      </c>
      <c r="C1787" s="57" t="s">
        <v>2792</v>
      </c>
      <c r="E1787" s="8">
        <v>165800</v>
      </c>
      <c r="F1787" s="8">
        <v>165800</v>
      </c>
      <c r="G1787" s="125">
        <f t="shared" si="47"/>
        <v>0</v>
      </c>
      <c r="H1787" s="247"/>
    </row>
    <row r="1788" spans="1:8" ht="33">
      <c r="A1788" s="3">
        <f>IF(F1788="","",COUNTA($F$1249:F1788))</f>
        <v>499</v>
      </c>
      <c r="B1788" s="25" t="s">
        <v>2479</v>
      </c>
      <c r="C1788" s="57" t="s">
        <v>2792</v>
      </c>
      <c r="E1788" s="8">
        <v>185000</v>
      </c>
      <c r="F1788" s="8">
        <v>185000</v>
      </c>
      <c r="G1788" s="125">
        <f t="shared" si="47"/>
        <v>0</v>
      </c>
      <c r="H1788" s="247"/>
    </row>
    <row r="1789" spans="1:8" ht="33">
      <c r="A1789" s="3">
        <f>IF(F1789="","",COUNTA($F$1249:F1789))</f>
        <v>500</v>
      </c>
      <c r="B1789" s="25" t="s">
        <v>2480</v>
      </c>
      <c r="C1789" s="57" t="s">
        <v>2792</v>
      </c>
      <c r="E1789" s="8">
        <v>247200</v>
      </c>
      <c r="F1789" s="8">
        <v>247200</v>
      </c>
      <c r="G1789" s="125">
        <f t="shared" si="47"/>
        <v>0</v>
      </c>
      <c r="H1789" s="247"/>
    </row>
    <row r="1790" spans="1:8" ht="33">
      <c r="A1790" s="3">
        <f>IF(F1790="","",COUNTA($F$1249:F1790))</f>
        <v>501</v>
      </c>
      <c r="B1790" s="25" t="s">
        <v>2481</v>
      </c>
      <c r="C1790" s="57" t="s">
        <v>2792</v>
      </c>
      <c r="E1790" s="8">
        <v>295500</v>
      </c>
      <c r="F1790" s="8">
        <v>295500</v>
      </c>
      <c r="G1790" s="125">
        <f t="shared" si="47"/>
        <v>0</v>
      </c>
      <c r="H1790" s="247"/>
    </row>
    <row r="1791" spans="1:8" ht="17.25">
      <c r="A1791" s="3">
        <f>IF(F1791="","",COUNTA($F$1249:F1791))</f>
      </c>
      <c r="B1791" s="31" t="s">
        <v>971</v>
      </c>
      <c r="C1791" s="70"/>
      <c r="E1791" s="10"/>
      <c r="F1791" s="10"/>
      <c r="G1791" s="125" t="e">
        <f t="shared" si="47"/>
        <v>#DIV/0!</v>
      </c>
      <c r="H1791" s="247" t="s">
        <v>1211</v>
      </c>
    </row>
    <row r="1792" spans="1:8" ht="16.5">
      <c r="A1792" s="3">
        <f>IF(F1792="","",COUNTA($F$1249:F1792))</f>
        <v>502</v>
      </c>
      <c r="B1792" s="25" t="s">
        <v>2482</v>
      </c>
      <c r="C1792" s="57" t="s">
        <v>2792</v>
      </c>
      <c r="E1792" s="8">
        <v>12800</v>
      </c>
      <c r="F1792" s="8">
        <v>12800</v>
      </c>
      <c r="G1792" s="125">
        <f t="shared" si="47"/>
        <v>0</v>
      </c>
      <c r="H1792" s="247"/>
    </row>
    <row r="1793" spans="1:8" ht="16.5">
      <c r="A1793" s="3">
        <f>IF(F1793="","",COUNTA($F$1249:F1793))</f>
        <v>503</v>
      </c>
      <c r="B1793" s="25" t="s">
        <v>2483</v>
      </c>
      <c r="C1793" s="57" t="s">
        <v>2792</v>
      </c>
      <c r="E1793" s="8">
        <v>14900</v>
      </c>
      <c r="F1793" s="8">
        <v>14900</v>
      </c>
      <c r="G1793" s="125">
        <f t="shared" si="47"/>
        <v>0</v>
      </c>
      <c r="H1793" s="247"/>
    </row>
    <row r="1794" spans="1:8" ht="16.5">
      <c r="A1794" s="3">
        <f>IF(F1794="","",COUNTA($F$1249:F1794))</f>
        <v>504</v>
      </c>
      <c r="B1794" s="25" t="s">
        <v>2484</v>
      </c>
      <c r="C1794" s="57" t="s">
        <v>2792</v>
      </c>
      <c r="E1794" s="8">
        <v>21400</v>
      </c>
      <c r="F1794" s="8">
        <v>21400</v>
      </c>
      <c r="G1794" s="125">
        <f aca="true" t="shared" si="48" ref="G1794:G1857">(E1794-F1794)/E1794</f>
        <v>0</v>
      </c>
      <c r="H1794" s="247"/>
    </row>
    <row r="1795" spans="1:8" ht="16.5">
      <c r="A1795" s="3">
        <f>IF(F1795="","",COUNTA($F$1249:F1795))</f>
        <v>505</v>
      </c>
      <c r="B1795" s="25" t="s">
        <v>2485</v>
      </c>
      <c r="C1795" s="57" t="s">
        <v>2792</v>
      </c>
      <c r="E1795" s="8">
        <v>29300</v>
      </c>
      <c r="F1795" s="8">
        <v>29300</v>
      </c>
      <c r="G1795" s="125">
        <f t="shared" si="48"/>
        <v>0</v>
      </c>
      <c r="H1795" s="247"/>
    </row>
    <row r="1796" spans="1:8" ht="16.5">
      <c r="A1796" s="3">
        <f>IF(F1796="","",COUNTA($F$1249:F1796))</f>
        <v>506</v>
      </c>
      <c r="B1796" s="25" t="s">
        <v>2486</v>
      </c>
      <c r="C1796" s="57" t="s">
        <v>2792</v>
      </c>
      <c r="E1796" s="8">
        <v>42500</v>
      </c>
      <c r="F1796" s="8">
        <v>42500</v>
      </c>
      <c r="G1796" s="125">
        <f t="shared" si="48"/>
        <v>0</v>
      </c>
      <c r="H1796" s="247"/>
    </row>
    <row r="1797" spans="1:8" ht="16.5">
      <c r="A1797" s="3">
        <f>IF(F1797="","",COUNTA($F$1249:F1797))</f>
        <v>507</v>
      </c>
      <c r="B1797" s="25" t="s">
        <v>2487</v>
      </c>
      <c r="C1797" s="57" t="s">
        <v>2792</v>
      </c>
      <c r="E1797" s="8">
        <v>55300</v>
      </c>
      <c r="F1797" s="8">
        <v>55300</v>
      </c>
      <c r="G1797" s="125">
        <f t="shared" si="48"/>
        <v>0</v>
      </c>
      <c r="H1797" s="247"/>
    </row>
    <row r="1798" spans="1:8" ht="16.5">
      <c r="A1798" s="3">
        <f>IF(F1798="","",COUNTA($F$1249:F1798))</f>
        <v>508</v>
      </c>
      <c r="B1798" s="25" t="s">
        <v>2488</v>
      </c>
      <c r="C1798" s="57" t="s">
        <v>2792</v>
      </c>
      <c r="E1798" s="8">
        <v>63600</v>
      </c>
      <c r="F1798" s="8">
        <v>63600</v>
      </c>
      <c r="G1798" s="125">
        <f t="shared" si="48"/>
        <v>0</v>
      </c>
      <c r="H1798" s="247"/>
    </row>
    <row r="1799" spans="1:8" ht="33">
      <c r="A1799" s="3">
        <f>IF(F1799="","",COUNTA($F$1249:F1799))</f>
        <v>509</v>
      </c>
      <c r="B1799" s="25" t="s">
        <v>2489</v>
      </c>
      <c r="C1799" s="57" t="s">
        <v>2792</v>
      </c>
      <c r="E1799" s="8">
        <v>78100</v>
      </c>
      <c r="F1799" s="8">
        <v>78100</v>
      </c>
      <c r="G1799" s="125">
        <f t="shared" si="48"/>
        <v>0</v>
      </c>
      <c r="H1799" s="247"/>
    </row>
    <row r="1800" spans="1:8" ht="33">
      <c r="A1800" s="3">
        <f>IF(F1800="","",COUNTA($F$1249:F1800))</f>
        <v>510</v>
      </c>
      <c r="B1800" s="25" t="s">
        <v>2490</v>
      </c>
      <c r="C1800" s="57" t="s">
        <v>2792</v>
      </c>
      <c r="E1800" s="8">
        <v>121400</v>
      </c>
      <c r="F1800" s="8">
        <v>121400</v>
      </c>
      <c r="G1800" s="125">
        <f t="shared" si="48"/>
        <v>0</v>
      </c>
      <c r="H1800" s="247"/>
    </row>
    <row r="1801" spans="1:8" ht="33">
      <c r="A1801" s="3">
        <f>IF(F1801="","",COUNTA($F$1249:F1801))</f>
        <v>511</v>
      </c>
      <c r="B1801" s="25" t="s">
        <v>2491</v>
      </c>
      <c r="C1801" s="57" t="s">
        <v>2792</v>
      </c>
      <c r="E1801" s="8">
        <v>165800</v>
      </c>
      <c r="F1801" s="8">
        <v>165800</v>
      </c>
      <c r="G1801" s="125">
        <f t="shared" si="48"/>
        <v>0</v>
      </c>
      <c r="H1801" s="247"/>
    </row>
    <row r="1802" spans="1:8" ht="33">
      <c r="A1802" s="3">
        <f>IF(F1802="","",COUNTA($F$1249:F1802))</f>
        <v>512</v>
      </c>
      <c r="B1802" s="25" t="s">
        <v>2492</v>
      </c>
      <c r="C1802" s="57" t="s">
        <v>2792</v>
      </c>
      <c r="E1802" s="8">
        <v>185000</v>
      </c>
      <c r="F1802" s="8">
        <v>185000</v>
      </c>
      <c r="G1802" s="125">
        <f t="shared" si="48"/>
        <v>0</v>
      </c>
      <c r="H1802" s="247"/>
    </row>
    <row r="1803" spans="1:8" ht="33">
      <c r="A1803" s="3">
        <f>IF(F1803="","",COUNTA($F$1249:F1803))</f>
        <v>513</v>
      </c>
      <c r="B1803" s="25" t="s">
        <v>2493</v>
      </c>
      <c r="C1803" s="57" t="s">
        <v>2792</v>
      </c>
      <c r="E1803" s="8">
        <v>247200</v>
      </c>
      <c r="F1803" s="8">
        <v>247200</v>
      </c>
      <c r="G1803" s="125">
        <f t="shared" si="48"/>
        <v>0</v>
      </c>
      <c r="H1803" s="247"/>
    </row>
    <row r="1804" spans="1:8" ht="33">
      <c r="A1804" s="3">
        <f>IF(F1804="","",COUNTA($F$1249:F1804))</f>
        <v>514</v>
      </c>
      <c r="B1804" s="25" t="s">
        <v>2494</v>
      </c>
      <c r="C1804" s="57" t="s">
        <v>2792</v>
      </c>
      <c r="E1804" s="8">
        <v>295500</v>
      </c>
      <c r="F1804" s="8">
        <v>295500</v>
      </c>
      <c r="G1804" s="125">
        <f t="shared" si="48"/>
        <v>0</v>
      </c>
      <c r="H1804" s="247"/>
    </row>
    <row r="1805" spans="1:8" ht="17.25">
      <c r="A1805" s="3">
        <f>IF(F1805="","",COUNTA($F$1249:F1805))</f>
      </c>
      <c r="B1805" s="31" t="s">
        <v>2495</v>
      </c>
      <c r="C1805" s="70"/>
      <c r="E1805" s="10"/>
      <c r="F1805" s="10"/>
      <c r="G1805" s="125"/>
      <c r="H1805" s="247" t="s">
        <v>1209</v>
      </c>
    </row>
    <row r="1806" spans="1:9" ht="16.5">
      <c r="A1806" s="3">
        <f>IF(F1806="","",COUNTA($F$1249:F1806))</f>
        <v>515</v>
      </c>
      <c r="B1806" s="25" t="s">
        <v>2496</v>
      </c>
      <c r="C1806" s="57" t="s">
        <v>2792</v>
      </c>
      <c r="E1806" s="8">
        <v>9790</v>
      </c>
      <c r="F1806" s="8">
        <v>9790</v>
      </c>
      <c r="G1806" s="125">
        <f t="shared" si="48"/>
        <v>0</v>
      </c>
      <c r="H1806" s="247"/>
      <c r="I1806" s="56">
        <f>F1806*1.1</f>
        <v>10769</v>
      </c>
    </row>
    <row r="1807" spans="1:8" ht="16.5">
      <c r="A1807" s="3">
        <f>IF(F1807="","",COUNTA($F$1249:F1807))</f>
        <v>516</v>
      </c>
      <c r="B1807" s="25" t="s">
        <v>2497</v>
      </c>
      <c r="C1807" s="57" t="s">
        <v>2792</v>
      </c>
      <c r="E1807" s="8">
        <v>11690</v>
      </c>
      <c r="F1807" s="8">
        <v>11690</v>
      </c>
      <c r="G1807" s="125">
        <f t="shared" si="48"/>
        <v>0</v>
      </c>
      <c r="H1807" s="247"/>
    </row>
    <row r="1808" spans="1:8" ht="16.5">
      <c r="A1808" s="3">
        <f>IF(F1808="","",COUNTA($F$1249:F1808))</f>
        <v>517</v>
      </c>
      <c r="B1808" s="25" t="s">
        <v>2498</v>
      </c>
      <c r="C1808" s="57" t="s">
        <v>2792</v>
      </c>
      <c r="E1808" s="8">
        <v>13690</v>
      </c>
      <c r="F1808" s="8">
        <v>13690</v>
      </c>
      <c r="G1808" s="125">
        <f t="shared" si="48"/>
        <v>0</v>
      </c>
      <c r="H1808" s="247"/>
    </row>
    <row r="1809" spans="1:8" ht="16.5">
      <c r="A1809" s="3">
        <f>IF(F1809="","",COUNTA($F$1249:F1809))</f>
        <v>518</v>
      </c>
      <c r="B1809" s="25" t="s">
        <v>2499</v>
      </c>
      <c r="C1809" s="57" t="s">
        <v>2792</v>
      </c>
      <c r="E1809" s="8">
        <v>13140</v>
      </c>
      <c r="F1809" s="8">
        <v>13140</v>
      </c>
      <c r="G1809" s="125">
        <f t="shared" si="48"/>
        <v>0</v>
      </c>
      <c r="H1809" s="247"/>
    </row>
    <row r="1810" spans="1:8" ht="16.5">
      <c r="A1810" s="3">
        <f>IF(F1810="","",COUNTA($F$1249:F1810))</f>
        <v>519</v>
      </c>
      <c r="B1810" s="25" t="s">
        <v>2500</v>
      </c>
      <c r="C1810" s="57" t="s">
        <v>2792</v>
      </c>
      <c r="E1810" s="8">
        <v>16040</v>
      </c>
      <c r="F1810" s="8">
        <v>16040</v>
      </c>
      <c r="G1810" s="125">
        <f t="shared" si="48"/>
        <v>0</v>
      </c>
      <c r="H1810" s="247"/>
    </row>
    <row r="1811" spans="1:8" ht="16.5">
      <c r="A1811" s="3">
        <f>IF(F1811="","",COUNTA($F$1249:F1811))</f>
        <v>520</v>
      </c>
      <c r="B1811" s="25" t="s">
        <v>2501</v>
      </c>
      <c r="C1811" s="57" t="s">
        <v>2792</v>
      </c>
      <c r="E1811" s="8">
        <v>18760</v>
      </c>
      <c r="F1811" s="8">
        <v>18760</v>
      </c>
      <c r="G1811" s="125">
        <f t="shared" si="48"/>
        <v>0</v>
      </c>
      <c r="H1811" s="247"/>
    </row>
    <row r="1812" spans="1:8" ht="16.5">
      <c r="A1812" s="3">
        <f>IF(F1812="","",COUNTA($F$1249:F1812))</f>
        <v>521</v>
      </c>
      <c r="B1812" s="25" t="s">
        <v>2502</v>
      </c>
      <c r="C1812" s="57" t="s">
        <v>2792</v>
      </c>
      <c r="E1812" s="8">
        <v>16590</v>
      </c>
      <c r="F1812" s="8">
        <v>16590</v>
      </c>
      <c r="G1812" s="125">
        <f t="shared" si="48"/>
        <v>0</v>
      </c>
      <c r="H1812" s="247"/>
    </row>
    <row r="1813" spans="1:8" ht="16.5">
      <c r="A1813" s="3">
        <f>IF(F1813="","",COUNTA($F$1249:F1813))</f>
        <v>522</v>
      </c>
      <c r="B1813" s="25" t="s">
        <v>2503</v>
      </c>
      <c r="C1813" s="57" t="s">
        <v>2792</v>
      </c>
      <c r="E1813" s="8">
        <v>20030</v>
      </c>
      <c r="F1813" s="8">
        <v>20030</v>
      </c>
      <c r="G1813" s="125">
        <f t="shared" si="48"/>
        <v>0</v>
      </c>
      <c r="H1813" s="247"/>
    </row>
    <row r="1814" spans="1:8" ht="16.5">
      <c r="A1814" s="3">
        <f>IF(F1814="","",COUNTA($F$1249:F1814))</f>
        <v>523</v>
      </c>
      <c r="B1814" s="25" t="s">
        <v>2504</v>
      </c>
      <c r="C1814" s="57" t="s">
        <v>2792</v>
      </c>
      <c r="E1814" s="8">
        <v>24200</v>
      </c>
      <c r="F1814" s="8">
        <v>24200</v>
      </c>
      <c r="G1814" s="125">
        <f t="shared" si="48"/>
        <v>0</v>
      </c>
      <c r="H1814" s="247"/>
    </row>
    <row r="1815" spans="1:8" ht="16.5">
      <c r="A1815" s="3">
        <f>IF(F1815="","",COUNTA($F$1249:F1815))</f>
        <v>524</v>
      </c>
      <c r="B1815" s="25" t="s">
        <v>2505</v>
      </c>
      <c r="C1815" s="57" t="s">
        <v>2792</v>
      </c>
      <c r="E1815" s="8">
        <v>29090</v>
      </c>
      <c r="F1815" s="8">
        <v>29090</v>
      </c>
      <c r="G1815" s="125">
        <f t="shared" si="48"/>
        <v>0</v>
      </c>
      <c r="H1815" s="247"/>
    </row>
    <row r="1816" spans="1:8" ht="16.5">
      <c r="A1816" s="3">
        <f>IF(F1816="","",COUNTA($F$1249:F1816))</f>
        <v>525</v>
      </c>
      <c r="B1816" s="25" t="s">
        <v>2506</v>
      </c>
      <c r="C1816" s="57" t="s">
        <v>2792</v>
      </c>
      <c r="E1816" s="8">
        <v>25740</v>
      </c>
      <c r="F1816" s="8">
        <v>25740</v>
      </c>
      <c r="G1816" s="125">
        <f t="shared" si="48"/>
        <v>0</v>
      </c>
      <c r="H1816" s="247"/>
    </row>
    <row r="1817" spans="1:8" ht="16.5">
      <c r="A1817" s="3">
        <f>IF(F1817="","",COUNTA($F$1249:F1817))</f>
        <v>526</v>
      </c>
      <c r="B1817" s="25" t="s">
        <v>2507</v>
      </c>
      <c r="C1817" s="57" t="s">
        <v>2792</v>
      </c>
      <c r="E1817" s="8">
        <v>30730</v>
      </c>
      <c r="F1817" s="8">
        <v>30730</v>
      </c>
      <c r="G1817" s="125">
        <f t="shared" si="48"/>
        <v>0</v>
      </c>
      <c r="H1817" s="247"/>
    </row>
    <row r="1818" spans="1:8" ht="16.5">
      <c r="A1818" s="3">
        <f>IF(F1818="","",COUNTA($F$1249:F1818))</f>
        <v>527</v>
      </c>
      <c r="B1818" s="25" t="s">
        <v>2508</v>
      </c>
      <c r="C1818" s="57" t="s">
        <v>2792</v>
      </c>
      <c r="E1818" s="8">
        <v>36980</v>
      </c>
      <c r="F1818" s="8">
        <v>36980</v>
      </c>
      <c r="G1818" s="125">
        <f t="shared" si="48"/>
        <v>0</v>
      </c>
      <c r="H1818" s="247"/>
    </row>
    <row r="1819" spans="1:8" ht="16.5">
      <c r="A1819" s="3">
        <f>IF(F1819="","",COUNTA($F$1249:F1819))</f>
        <v>528</v>
      </c>
      <c r="B1819" s="25" t="s">
        <v>2509</v>
      </c>
      <c r="C1819" s="57" t="s">
        <v>2792</v>
      </c>
      <c r="E1819" s="8">
        <v>45140</v>
      </c>
      <c r="F1819" s="8">
        <v>45140</v>
      </c>
      <c r="G1819" s="125">
        <f t="shared" si="48"/>
        <v>0</v>
      </c>
      <c r="H1819" s="247"/>
    </row>
    <row r="1820" spans="1:8" ht="16.5">
      <c r="A1820" s="3">
        <f>IF(F1820="","",COUNTA($F$1249:F1820))</f>
        <v>529</v>
      </c>
      <c r="B1820" s="25" t="s">
        <v>2510</v>
      </c>
      <c r="C1820" s="57" t="s">
        <v>2792</v>
      </c>
      <c r="E1820" s="8">
        <v>53380</v>
      </c>
      <c r="F1820" s="8">
        <v>53380</v>
      </c>
      <c r="G1820" s="125">
        <f t="shared" si="48"/>
        <v>0</v>
      </c>
      <c r="H1820" s="247"/>
    </row>
    <row r="1821" spans="1:8" ht="16.5">
      <c r="A1821" s="3">
        <f>IF(F1821="","",COUNTA($F$1249:F1821))</f>
        <v>530</v>
      </c>
      <c r="B1821" s="25" t="s">
        <v>2511</v>
      </c>
      <c r="C1821" s="57" t="s">
        <v>2792</v>
      </c>
      <c r="E1821" s="8">
        <v>39970</v>
      </c>
      <c r="F1821" s="8">
        <v>39970</v>
      </c>
      <c r="G1821" s="125">
        <f t="shared" si="48"/>
        <v>0</v>
      </c>
      <c r="H1821" s="247"/>
    </row>
    <row r="1822" spans="1:8" ht="16.5">
      <c r="A1822" s="3">
        <f>IF(F1822="","",COUNTA($F$1249:F1822))</f>
        <v>531</v>
      </c>
      <c r="B1822" s="25" t="s">
        <v>2512</v>
      </c>
      <c r="C1822" s="57" t="s">
        <v>2792</v>
      </c>
      <c r="E1822" s="8">
        <v>49130</v>
      </c>
      <c r="F1822" s="8">
        <v>49130</v>
      </c>
      <c r="G1822" s="125">
        <f t="shared" si="48"/>
        <v>0</v>
      </c>
      <c r="H1822" s="247"/>
    </row>
    <row r="1823" spans="1:8" ht="16.5">
      <c r="A1823" s="3">
        <f>IF(F1823="","",COUNTA($F$1249:F1823))</f>
        <v>532</v>
      </c>
      <c r="B1823" s="25" t="s">
        <v>2513</v>
      </c>
      <c r="C1823" s="57" t="s">
        <v>2792</v>
      </c>
      <c r="E1823" s="8">
        <v>59550</v>
      </c>
      <c r="F1823" s="8">
        <v>59550</v>
      </c>
      <c r="G1823" s="125">
        <f t="shared" si="48"/>
        <v>0</v>
      </c>
      <c r="H1823" s="247"/>
    </row>
    <row r="1824" spans="1:8" ht="16.5">
      <c r="A1824" s="3">
        <f>IF(F1824="","",COUNTA($F$1249:F1824))</f>
        <v>533</v>
      </c>
      <c r="B1824" s="25" t="s">
        <v>2514</v>
      </c>
      <c r="C1824" s="57" t="s">
        <v>2792</v>
      </c>
      <c r="E1824" s="8">
        <v>70970</v>
      </c>
      <c r="F1824" s="8">
        <v>70970</v>
      </c>
      <c r="G1824" s="125">
        <f t="shared" si="48"/>
        <v>0</v>
      </c>
      <c r="H1824" s="247"/>
    </row>
    <row r="1825" spans="1:8" ht="16.5">
      <c r="A1825" s="3">
        <f>IF(F1825="","",COUNTA($F$1249:F1825))</f>
        <v>534</v>
      </c>
      <c r="B1825" s="25" t="s">
        <v>2515</v>
      </c>
      <c r="C1825" s="57" t="s">
        <v>2792</v>
      </c>
      <c r="E1825" s="8">
        <v>85020</v>
      </c>
      <c r="F1825" s="8">
        <v>85020</v>
      </c>
      <c r="G1825" s="125">
        <f t="shared" si="48"/>
        <v>0</v>
      </c>
      <c r="H1825" s="247"/>
    </row>
    <row r="1826" spans="1:8" ht="16.5">
      <c r="A1826" s="3">
        <f>IF(F1826="","",COUNTA($F$1249:F1826))</f>
        <v>535</v>
      </c>
      <c r="B1826" s="25" t="s">
        <v>2516</v>
      </c>
      <c r="C1826" s="57" t="s">
        <v>2792</v>
      </c>
      <c r="E1826" s="8">
        <v>56830</v>
      </c>
      <c r="F1826" s="8">
        <v>56830</v>
      </c>
      <c r="G1826" s="125">
        <f t="shared" si="48"/>
        <v>0</v>
      </c>
      <c r="H1826" s="247"/>
    </row>
    <row r="1827" spans="1:8" ht="16.5">
      <c r="A1827" s="3">
        <f>IF(F1827="","",COUNTA($F$1249:F1827))</f>
        <v>536</v>
      </c>
      <c r="B1827" s="25" t="s">
        <v>2517</v>
      </c>
      <c r="C1827" s="57" t="s">
        <v>2792</v>
      </c>
      <c r="E1827" s="8">
        <v>70060</v>
      </c>
      <c r="F1827" s="8">
        <v>70060</v>
      </c>
      <c r="G1827" s="125">
        <f t="shared" si="48"/>
        <v>0</v>
      </c>
      <c r="H1827" s="247"/>
    </row>
    <row r="1828" spans="1:8" ht="16.5">
      <c r="A1828" s="3">
        <f>IF(F1828="","",COUNTA($F$1249:F1828))</f>
        <v>537</v>
      </c>
      <c r="B1828" s="25" t="s">
        <v>2518</v>
      </c>
      <c r="C1828" s="57" t="s">
        <v>2792</v>
      </c>
      <c r="E1828" s="8">
        <v>84470</v>
      </c>
      <c r="F1828" s="8">
        <v>84470</v>
      </c>
      <c r="G1828" s="125">
        <f t="shared" si="48"/>
        <v>0</v>
      </c>
      <c r="H1828" s="247"/>
    </row>
    <row r="1829" spans="1:8" ht="16.5">
      <c r="A1829" s="3">
        <f>IF(F1829="","",COUNTA($F$1249:F1829))</f>
        <v>538</v>
      </c>
      <c r="B1829" s="25" t="s">
        <v>2519</v>
      </c>
      <c r="C1829" s="57" t="s">
        <v>2792</v>
      </c>
      <c r="E1829" s="8">
        <v>100790</v>
      </c>
      <c r="F1829" s="8">
        <v>100790</v>
      </c>
      <c r="G1829" s="125">
        <f t="shared" si="48"/>
        <v>0</v>
      </c>
      <c r="H1829" s="247"/>
    </row>
    <row r="1830" spans="1:8" ht="16.5">
      <c r="A1830" s="3">
        <f>IF(F1830="","",COUNTA($F$1249:F1830))</f>
        <v>539</v>
      </c>
      <c r="B1830" s="25" t="s">
        <v>2520</v>
      </c>
      <c r="C1830" s="57" t="s">
        <v>2792</v>
      </c>
      <c r="E1830" s="8">
        <v>120360</v>
      </c>
      <c r="F1830" s="8">
        <v>120360</v>
      </c>
      <c r="G1830" s="125">
        <f t="shared" si="48"/>
        <v>0</v>
      </c>
      <c r="H1830" s="247"/>
    </row>
    <row r="1831" spans="1:8" ht="16.5">
      <c r="A1831" s="3">
        <f>IF(F1831="","",COUNTA($F$1249:F1831))</f>
        <v>540</v>
      </c>
      <c r="B1831" s="25" t="s">
        <v>2521</v>
      </c>
      <c r="C1831" s="57" t="s">
        <v>2792</v>
      </c>
      <c r="E1831" s="8">
        <v>89730</v>
      </c>
      <c r="F1831" s="8">
        <v>89730</v>
      </c>
      <c r="G1831" s="125">
        <f t="shared" si="48"/>
        <v>0</v>
      </c>
      <c r="H1831" s="247"/>
    </row>
    <row r="1832" spans="1:8" ht="16.5">
      <c r="A1832" s="3">
        <f>IF(F1832="","",COUNTA($F$1249:F1832))</f>
        <v>541</v>
      </c>
      <c r="B1832" s="25" t="s">
        <v>2522</v>
      </c>
      <c r="C1832" s="57" t="s">
        <v>2792</v>
      </c>
      <c r="E1832" s="8">
        <v>99430</v>
      </c>
      <c r="F1832" s="8">
        <v>99430</v>
      </c>
      <c r="G1832" s="125">
        <f t="shared" si="48"/>
        <v>0</v>
      </c>
      <c r="H1832" s="247"/>
    </row>
    <row r="1833" spans="1:8" ht="16.5">
      <c r="A1833" s="3">
        <f>IF(F1833="","",COUNTA($F$1249:F1833))</f>
        <v>542</v>
      </c>
      <c r="B1833" s="25" t="s">
        <v>2523</v>
      </c>
      <c r="C1833" s="57" t="s">
        <v>2792</v>
      </c>
      <c r="E1833" s="8">
        <v>120180</v>
      </c>
      <c r="F1833" s="8">
        <v>120180</v>
      </c>
      <c r="G1833" s="125">
        <f t="shared" si="48"/>
        <v>0</v>
      </c>
      <c r="H1833" s="247"/>
    </row>
    <row r="1834" spans="1:8" ht="16.5">
      <c r="A1834" s="3">
        <f>IF(F1834="","",COUNTA($F$1249:F1834))</f>
        <v>543</v>
      </c>
      <c r="B1834" s="25" t="s">
        <v>2524</v>
      </c>
      <c r="C1834" s="57" t="s">
        <v>2792</v>
      </c>
      <c r="E1834" s="8">
        <v>144290</v>
      </c>
      <c r="F1834" s="8">
        <v>144290</v>
      </c>
      <c r="G1834" s="125">
        <f t="shared" si="48"/>
        <v>0</v>
      </c>
      <c r="H1834" s="247"/>
    </row>
    <row r="1835" spans="1:8" ht="16.5">
      <c r="A1835" s="3">
        <f>IF(F1835="","",COUNTA($F$1249:F1835))</f>
        <v>544</v>
      </c>
      <c r="B1835" s="25" t="s">
        <v>2525</v>
      </c>
      <c r="C1835" s="57" t="s">
        <v>2792</v>
      </c>
      <c r="E1835" s="8">
        <v>172750</v>
      </c>
      <c r="F1835" s="8">
        <v>172750</v>
      </c>
      <c r="G1835" s="125">
        <f t="shared" si="48"/>
        <v>0</v>
      </c>
      <c r="H1835" s="247"/>
    </row>
    <row r="1836" spans="1:8" ht="16.5">
      <c r="A1836" s="3">
        <f>IF(F1836="","",COUNTA($F$1249:F1836))</f>
        <v>545</v>
      </c>
      <c r="B1836" s="25" t="s">
        <v>2526</v>
      </c>
      <c r="C1836" s="57" t="s">
        <v>2792</v>
      </c>
      <c r="E1836" s="8">
        <v>96980</v>
      </c>
      <c r="F1836" s="8">
        <v>96980</v>
      </c>
      <c r="G1836" s="125">
        <f t="shared" si="48"/>
        <v>0</v>
      </c>
      <c r="H1836" s="247"/>
    </row>
    <row r="1837" spans="1:8" ht="16.5">
      <c r="A1837" s="3">
        <f>IF(F1837="","",COUNTA($F$1249:F1837))</f>
        <v>546</v>
      </c>
      <c r="B1837" s="25" t="s">
        <v>2527</v>
      </c>
      <c r="C1837" s="57" t="s">
        <v>2792</v>
      </c>
      <c r="E1837" s="8">
        <v>120460</v>
      </c>
      <c r="F1837" s="8">
        <v>120460</v>
      </c>
      <c r="G1837" s="125">
        <f t="shared" si="48"/>
        <v>0</v>
      </c>
      <c r="H1837" s="247"/>
    </row>
    <row r="1838" spans="1:8" ht="16.5">
      <c r="A1838" s="3">
        <f>IF(F1838="","",COUNTA($F$1249:F1838))</f>
        <v>547</v>
      </c>
      <c r="B1838" s="25" t="s">
        <v>2528</v>
      </c>
      <c r="C1838" s="57" t="s">
        <v>2792</v>
      </c>
      <c r="E1838" s="8">
        <v>150640</v>
      </c>
      <c r="F1838" s="8">
        <v>150640</v>
      </c>
      <c r="G1838" s="125">
        <f t="shared" si="48"/>
        <v>0</v>
      </c>
      <c r="H1838" s="247"/>
    </row>
    <row r="1839" spans="1:8" ht="16.5">
      <c r="A1839" s="3">
        <f>IF(F1839="","",COUNTA($F$1249:F1839))</f>
        <v>548</v>
      </c>
      <c r="B1839" s="25" t="s">
        <v>2529</v>
      </c>
      <c r="C1839" s="57" t="s">
        <v>2792</v>
      </c>
      <c r="E1839" s="8">
        <v>180000</v>
      </c>
      <c r="F1839" s="8">
        <v>180000</v>
      </c>
      <c r="G1839" s="125">
        <f t="shared" si="48"/>
        <v>0</v>
      </c>
      <c r="H1839" s="247"/>
    </row>
    <row r="1840" spans="1:8" ht="16.5">
      <c r="A1840" s="3">
        <f>IF(F1840="","",COUNTA($F$1249:F1840))</f>
        <v>549</v>
      </c>
      <c r="B1840" s="25" t="s">
        <v>2530</v>
      </c>
      <c r="C1840" s="57" t="s">
        <v>2792</v>
      </c>
      <c r="E1840" s="8">
        <v>217350</v>
      </c>
      <c r="F1840" s="8">
        <v>217350</v>
      </c>
      <c r="G1840" s="125">
        <f t="shared" si="48"/>
        <v>0</v>
      </c>
      <c r="H1840" s="247"/>
    </row>
    <row r="1841" spans="1:8" ht="16.5">
      <c r="A1841" s="3">
        <f>IF(F1841="","",COUNTA($F$1249:F1841))</f>
        <v>550</v>
      </c>
      <c r="B1841" s="25" t="s">
        <v>2531</v>
      </c>
      <c r="C1841" s="57" t="s">
        <v>2792</v>
      </c>
      <c r="E1841" s="8">
        <v>261580</v>
      </c>
      <c r="F1841" s="8">
        <v>261580</v>
      </c>
      <c r="G1841" s="125">
        <f t="shared" si="48"/>
        <v>0</v>
      </c>
      <c r="H1841" s="247"/>
    </row>
    <row r="1842" spans="1:8" ht="16.5">
      <c r="A1842" s="3">
        <f>IF(F1842="","",COUNTA($F$1249:F1842))</f>
        <v>551</v>
      </c>
      <c r="B1842" s="25" t="s">
        <v>2532</v>
      </c>
      <c r="C1842" s="57" t="s">
        <v>2792</v>
      </c>
      <c r="E1842" s="8">
        <v>125440</v>
      </c>
      <c r="F1842" s="8">
        <v>125440</v>
      </c>
      <c r="G1842" s="125">
        <f t="shared" si="48"/>
        <v>0</v>
      </c>
      <c r="H1842" s="247"/>
    </row>
    <row r="1843" spans="1:8" ht="16.5">
      <c r="A1843" s="3">
        <f>IF(F1843="","",COUNTA($F$1249:F1843))</f>
        <v>552</v>
      </c>
      <c r="B1843" s="25" t="s">
        <v>2533</v>
      </c>
      <c r="C1843" s="57" t="s">
        <v>2792</v>
      </c>
      <c r="E1843" s="8">
        <v>155530</v>
      </c>
      <c r="F1843" s="8">
        <v>155530</v>
      </c>
      <c r="G1843" s="125">
        <f t="shared" si="48"/>
        <v>0</v>
      </c>
      <c r="H1843" s="247"/>
    </row>
    <row r="1844" spans="1:8" ht="16.5">
      <c r="A1844" s="3">
        <f>IF(F1844="","",COUNTA($F$1249:F1844))</f>
        <v>553</v>
      </c>
      <c r="B1844" s="25" t="s">
        <v>2534</v>
      </c>
      <c r="C1844" s="57" t="s">
        <v>2792</v>
      </c>
      <c r="E1844" s="8">
        <v>190150</v>
      </c>
      <c r="F1844" s="8">
        <v>190150</v>
      </c>
      <c r="G1844" s="125">
        <f t="shared" si="48"/>
        <v>0</v>
      </c>
      <c r="H1844" s="247"/>
    </row>
    <row r="1845" spans="1:8" ht="16.5">
      <c r="A1845" s="3">
        <f>IF(F1845="","",COUNTA($F$1249:F1845))</f>
        <v>554</v>
      </c>
      <c r="B1845" s="25" t="s">
        <v>2535</v>
      </c>
      <c r="C1845" s="57" t="s">
        <v>2792</v>
      </c>
      <c r="E1845" s="8">
        <v>231760</v>
      </c>
      <c r="F1845" s="8">
        <v>231760</v>
      </c>
      <c r="G1845" s="125">
        <f t="shared" si="48"/>
        <v>0</v>
      </c>
      <c r="H1845" s="247"/>
    </row>
    <row r="1846" spans="1:8" ht="16.5">
      <c r="A1846" s="3">
        <f>IF(F1846="","",COUNTA($F$1249:F1846))</f>
        <v>555</v>
      </c>
      <c r="B1846" s="25" t="s">
        <v>2536</v>
      </c>
      <c r="C1846" s="57" t="s">
        <v>2792</v>
      </c>
      <c r="E1846" s="8">
        <v>281150</v>
      </c>
      <c r="F1846" s="8">
        <v>281150</v>
      </c>
      <c r="G1846" s="125">
        <f t="shared" si="48"/>
        <v>0</v>
      </c>
      <c r="H1846" s="247"/>
    </row>
    <row r="1847" spans="1:8" ht="16.5">
      <c r="A1847" s="3">
        <f>IF(F1847="","",COUNTA($F$1249:F1847))</f>
        <v>556</v>
      </c>
      <c r="B1847" s="25" t="s">
        <v>2537</v>
      </c>
      <c r="C1847" s="57" t="s">
        <v>2792</v>
      </c>
      <c r="E1847" s="8">
        <v>335260</v>
      </c>
      <c r="F1847" s="8">
        <v>335260</v>
      </c>
      <c r="G1847" s="125">
        <f t="shared" si="48"/>
        <v>0</v>
      </c>
      <c r="H1847" s="247"/>
    </row>
    <row r="1848" spans="1:8" ht="16.5">
      <c r="A1848" s="3">
        <f>IF(F1848="","",COUNTA($F$1249:F1848))</f>
        <v>557</v>
      </c>
      <c r="B1848" s="25" t="s">
        <v>2538</v>
      </c>
      <c r="C1848" s="57" t="s">
        <v>2792</v>
      </c>
      <c r="E1848" s="8">
        <v>157440</v>
      </c>
      <c r="F1848" s="8">
        <v>157440</v>
      </c>
      <c r="G1848" s="125">
        <f t="shared" si="48"/>
        <v>0</v>
      </c>
      <c r="H1848" s="247"/>
    </row>
    <row r="1849" spans="1:8" ht="16.5">
      <c r="A1849" s="3">
        <f>IF(F1849="","",COUNTA($F$1249:F1849))</f>
        <v>558</v>
      </c>
      <c r="B1849" s="25" t="s">
        <v>2539</v>
      </c>
      <c r="C1849" s="57" t="s">
        <v>2792</v>
      </c>
      <c r="E1849" s="8">
        <v>193690</v>
      </c>
      <c r="F1849" s="8">
        <v>193690</v>
      </c>
      <c r="G1849" s="125">
        <f t="shared" si="48"/>
        <v>0</v>
      </c>
      <c r="H1849" s="247"/>
    </row>
    <row r="1850" spans="1:8" ht="16.5">
      <c r="A1850" s="3">
        <f>IF(F1850="","",COUNTA($F$1249:F1850))</f>
        <v>559</v>
      </c>
      <c r="B1850" s="25" t="s">
        <v>2540</v>
      </c>
      <c r="C1850" s="57" t="s">
        <v>2792</v>
      </c>
      <c r="E1850" s="8">
        <v>237380</v>
      </c>
      <c r="F1850" s="8">
        <v>237380</v>
      </c>
      <c r="G1850" s="125">
        <f t="shared" si="48"/>
        <v>0</v>
      </c>
      <c r="H1850" s="247"/>
    </row>
    <row r="1851" spans="1:8" ht="16.5">
      <c r="A1851" s="3">
        <f>IF(F1851="","",COUNTA($F$1249:F1851))</f>
        <v>560</v>
      </c>
      <c r="B1851" s="25" t="s">
        <v>2541</v>
      </c>
      <c r="C1851" s="57" t="s">
        <v>2792</v>
      </c>
      <c r="E1851" s="8">
        <v>287500</v>
      </c>
      <c r="F1851" s="8">
        <v>287500</v>
      </c>
      <c r="G1851" s="125">
        <f t="shared" si="48"/>
        <v>0</v>
      </c>
      <c r="H1851" s="247"/>
    </row>
    <row r="1852" spans="1:8" ht="16.5">
      <c r="A1852" s="3">
        <f>IF(F1852="","",COUNTA($F$1249:F1852))</f>
        <v>561</v>
      </c>
      <c r="B1852" s="25" t="s">
        <v>2542</v>
      </c>
      <c r="C1852" s="57" t="s">
        <v>2792</v>
      </c>
      <c r="E1852" s="8">
        <v>348590</v>
      </c>
      <c r="F1852" s="8">
        <v>348590</v>
      </c>
      <c r="G1852" s="125">
        <f t="shared" si="48"/>
        <v>0</v>
      </c>
      <c r="H1852" s="247"/>
    </row>
    <row r="1853" spans="1:8" ht="16.5">
      <c r="A1853" s="3">
        <f>IF(F1853="","",COUNTA($F$1249:F1853))</f>
        <v>562</v>
      </c>
      <c r="B1853" s="25" t="s">
        <v>2543</v>
      </c>
      <c r="C1853" s="57" t="s">
        <v>2792</v>
      </c>
      <c r="E1853" s="8">
        <v>419280</v>
      </c>
      <c r="F1853" s="8">
        <v>419280</v>
      </c>
      <c r="G1853" s="125">
        <f t="shared" si="48"/>
        <v>0</v>
      </c>
      <c r="H1853" s="247"/>
    </row>
    <row r="1854" spans="1:8" ht="16.5">
      <c r="A1854" s="3">
        <f>IF(F1854="","",COUNTA($F$1249:F1854))</f>
        <v>563</v>
      </c>
      <c r="B1854" s="25" t="s">
        <v>2544</v>
      </c>
      <c r="C1854" s="57" t="s">
        <v>2792</v>
      </c>
      <c r="E1854" s="8">
        <v>206290</v>
      </c>
      <c r="F1854" s="8">
        <v>206290</v>
      </c>
      <c r="G1854" s="125">
        <f t="shared" si="48"/>
        <v>0</v>
      </c>
      <c r="H1854" s="247"/>
    </row>
    <row r="1855" spans="1:8" ht="16.5">
      <c r="A1855" s="3">
        <f>IF(F1855="","",COUNTA($F$1249:F1855))</f>
        <v>564</v>
      </c>
      <c r="B1855" s="25" t="s">
        <v>2545</v>
      </c>
      <c r="C1855" s="57" t="s">
        <v>2792</v>
      </c>
      <c r="E1855" s="8">
        <v>254330</v>
      </c>
      <c r="F1855" s="8">
        <v>254330</v>
      </c>
      <c r="G1855" s="125">
        <f t="shared" si="48"/>
        <v>0</v>
      </c>
      <c r="H1855" s="247"/>
    </row>
    <row r="1856" spans="1:8" ht="16.5">
      <c r="A1856" s="3">
        <f>IF(F1856="","",COUNTA($F$1249:F1856))</f>
        <v>565</v>
      </c>
      <c r="B1856" s="25" t="s">
        <v>2546</v>
      </c>
      <c r="C1856" s="57" t="s">
        <v>2792</v>
      </c>
      <c r="E1856" s="8">
        <v>311970</v>
      </c>
      <c r="F1856" s="8">
        <v>311970</v>
      </c>
      <c r="G1856" s="125">
        <f t="shared" si="48"/>
        <v>0</v>
      </c>
      <c r="H1856" s="247"/>
    </row>
    <row r="1857" spans="1:8" ht="16.5">
      <c r="A1857" s="3">
        <f>IF(F1857="","",COUNTA($F$1249:F1857))</f>
        <v>566</v>
      </c>
      <c r="B1857" s="25" t="s">
        <v>2547</v>
      </c>
      <c r="C1857" s="57" t="s">
        <v>2792</v>
      </c>
      <c r="E1857" s="8">
        <v>375140</v>
      </c>
      <c r="F1857" s="8">
        <v>375140</v>
      </c>
      <c r="G1857" s="125">
        <f t="shared" si="48"/>
        <v>0</v>
      </c>
      <c r="H1857" s="247"/>
    </row>
    <row r="1858" spans="1:8" ht="16.5">
      <c r="A1858" s="3">
        <f>IF(F1858="","",COUNTA($F$1249:F1858))</f>
        <v>567</v>
      </c>
      <c r="B1858" s="25" t="s">
        <v>2548</v>
      </c>
      <c r="C1858" s="57" t="s">
        <v>2792</v>
      </c>
      <c r="E1858" s="8">
        <v>460980</v>
      </c>
      <c r="F1858" s="8">
        <v>460980</v>
      </c>
      <c r="G1858" s="125">
        <f aca="true" t="shared" si="49" ref="G1858:G1921">(E1858-F1858)/E1858</f>
        <v>0</v>
      </c>
      <c r="H1858" s="247"/>
    </row>
    <row r="1859" spans="1:8" ht="16.5">
      <c r="A1859" s="3">
        <f>IF(F1859="","",COUNTA($F$1249:F1859))</f>
        <v>568</v>
      </c>
      <c r="B1859" s="25" t="s">
        <v>2549</v>
      </c>
      <c r="C1859" s="57" t="s">
        <v>2792</v>
      </c>
      <c r="E1859" s="8">
        <v>549980</v>
      </c>
      <c r="F1859" s="8">
        <v>549980</v>
      </c>
      <c r="G1859" s="125">
        <f t="shared" si="49"/>
        <v>0</v>
      </c>
      <c r="H1859" s="247"/>
    </row>
    <row r="1860" spans="1:8" ht="16.5">
      <c r="A1860" s="3">
        <f>IF(F1860="","",COUNTA($F$1249:F1860))</f>
        <v>569</v>
      </c>
      <c r="B1860" s="25" t="s">
        <v>2550</v>
      </c>
      <c r="C1860" s="57" t="s">
        <v>2792</v>
      </c>
      <c r="E1860" s="8">
        <v>257770</v>
      </c>
      <c r="F1860" s="8">
        <v>257770</v>
      </c>
      <c r="G1860" s="125">
        <f t="shared" si="49"/>
        <v>0</v>
      </c>
      <c r="H1860" s="247"/>
    </row>
    <row r="1861" spans="1:8" ht="16.5">
      <c r="A1861" s="3">
        <f>IF(F1861="","",COUNTA($F$1249:F1861))</f>
        <v>570</v>
      </c>
      <c r="B1861" s="25" t="s">
        <v>2551</v>
      </c>
      <c r="C1861" s="57" t="s">
        <v>2792</v>
      </c>
      <c r="E1861" s="8">
        <v>320220</v>
      </c>
      <c r="F1861" s="8">
        <v>320220</v>
      </c>
      <c r="G1861" s="125">
        <f t="shared" si="49"/>
        <v>0</v>
      </c>
      <c r="H1861" s="247"/>
    </row>
    <row r="1862" spans="1:8" ht="16.5">
      <c r="A1862" s="3">
        <f>IF(F1862="","",COUNTA($F$1249:F1862))</f>
        <v>571</v>
      </c>
      <c r="B1862" s="25" t="s">
        <v>2552</v>
      </c>
      <c r="C1862" s="57" t="s">
        <v>2792</v>
      </c>
      <c r="E1862" s="8">
        <v>392730</v>
      </c>
      <c r="F1862" s="8">
        <v>392730</v>
      </c>
      <c r="G1862" s="125">
        <f t="shared" si="49"/>
        <v>0</v>
      </c>
      <c r="H1862" s="247"/>
    </row>
    <row r="1863" spans="1:8" ht="16.5">
      <c r="A1863" s="3">
        <f>IF(F1863="","",COUNTA($F$1249:F1863))</f>
        <v>572</v>
      </c>
      <c r="B1863" s="25" t="s">
        <v>2553</v>
      </c>
      <c r="C1863" s="57" t="s">
        <v>2792</v>
      </c>
      <c r="E1863" s="8">
        <v>478290</v>
      </c>
      <c r="F1863" s="8">
        <v>478290</v>
      </c>
      <c r="G1863" s="125">
        <f t="shared" si="49"/>
        <v>0</v>
      </c>
      <c r="H1863" s="247"/>
    </row>
    <row r="1864" spans="1:8" ht="16.5">
      <c r="A1864" s="3">
        <f>IF(F1864="","",COUNTA($F$1249:F1864))</f>
        <v>573</v>
      </c>
      <c r="B1864" s="25" t="s">
        <v>2554</v>
      </c>
      <c r="C1864" s="57" t="s">
        <v>2792</v>
      </c>
      <c r="E1864" s="8">
        <v>579890</v>
      </c>
      <c r="F1864" s="8">
        <v>579890</v>
      </c>
      <c r="G1864" s="125">
        <f t="shared" si="49"/>
        <v>0</v>
      </c>
      <c r="H1864" s="247"/>
    </row>
    <row r="1865" spans="1:8" ht="16.5">
      <c r="A1865" s="3">
        <f>IF(F1865="","",COUNTA($F$1249:F1865))</f>
        <v>574</v>
      </c>
      <c r="B1865" s="25" t="s">
        <v>2555</v>
      </c>
      <c r="C1865" s="57" t="s">
        <v>2792</v>
      </c>
      <c r="E1865" s="8">
        <v>695360</v>
      </c>
      <c r="F1865" s="8">
        <v>695360</v>
      </c>
      <c r="G1865" s="125">
        <f t="shared" si="49"/>
        <v>0</v>
      </c>
      <c r="H1865" s="247"/>
    </row>
    <row r="1866" spans="1:8" ht="16.5">
      <c r="A1866" s="3">
        <f>IF(F1866="","",COUNTA($F$1249:F1866))</f>
        <v>575</v>
      </c>
      <c r="B1866" s="25" t="s">
        <v>2556</v>
      </c>
      <c r="C1866" s="57" t="s">
        <v>2792</v>
      </c>
      <c r="E1866" s="8">
        <v>320130</v>
      </c>
      <c r="F1866" s="8">
        <v>320130</v>
      </c>
      <c r="G1866" s="125">
        <f t="shared" si="49"/>
        <v>0</v>
      </c>
      <c r="H1866" s="247"/>
    </row>
    <row r="1867" spans="1:8" ht="16.5">
      <c r="A1867" s="3">
        <f>IF(F1867="","",COUNTA($F$1249:F1867))</f>
        <v>576</v>
      </c>
      <c r="B1867" s="25" t="s">
        <v>2557</v>
      </c>
      <c r="C1867" s="57" t="s">
        <v>2792</v>
      </c>
      <c r="E1867" s="8">
        <v>398890</v>
      </c>
      <c r="F1867" s="8">
        <v>398890</v>
      </c>
      <c r="G1867" s="125">
        <f t="shared" si="49"/>
        <v>0</v>
      </c>
      <c r="H1867" s="247"/>
    </row>
    <row r="1868" spans="1:8" ht="16.5">
      <c r="A1868" s="3">
        <f>IF(F1868="","",COUNTA($F$1249:F1868))</f>
        <v>577</v>
      </c>
      <c r="B1868" s="25" t="s">
        <v>2558</v>
      </c>
      <c r="C1868" s="57" t="s">
        <v>2792</v>
      </c>
      <c r="E1868" s="8">
        <v>492160</v>
      </c>
      <c r="F1868" s="8">
        <v>492160</v>
      </c>
      <c r="G1868" s="125">
        <f t="shared" si="49"/>
        <v>0</v>
      </c>
      <c r="H1868" s="247"/>
    </row>
    <row r="1869" spans="1:8" ht="16.5">
      <c r="A1869" s="3">
        <f>IF(F1869="","",COUNTA($F$1249:F1869))</f>
        <v>578</v>
      </c>
      <c r="B1869" s="25" t="s">
        <v>2559</v>
      </c>
      <c r="C1869" s="57" t="s">
        <v>2792</v>
      </c>
      <c r="E1869" s="8">
        <v>586050</v>
      </c>
      <c r="F1869" s="8">
        <v>586050</v>
      </c>
      <c r="G1869" s="125">
        <f t="shared" si="49"/>
        <v>0</v>
      </c>
      <c r="H1869" s="247"/>
    </row>
    <row r="1870" spans="1:8" ht="16.5">
      <c r="A1870" s="3">
        <f>IF(F1870="","",COUNTA($F$1249:F1870))</f>
        <v>579</v>
      </c>
      <c r="B1870" s="25" t="s">
        <v>2560</v>
      </c>
      <c r="C1870" s="57" t="s">
        <v>2792</v>
      </c>
      <c r="E1870" s="8">
        <v>725540</v>
      </c>
      <c r="F1870" s="8">
        <v>725540</v>
      </c>
      <c r="G1870" s="125">
        <f t="shared" si="49"/>
        <v>0</v>
      </c>
      <c r="H1870" s="247"/>
    </row>
    <row r="1871" spans="1:8" ht="16.5">
      <c r="A1871" s="3">
        <f>IF(F1871="","",COUNTA($F$1249:F1871))</f>
        <v>580</v>
      </c>
      <c r="B1871" s="25" t="s">
        <v>2561</v>
      </c>
      <c r="C1871" s="57" t="s">
        <v>2792</v>
      </c>
      <c r="E1871" s="8">
        <v>865120</v>
      </c>
      <c r="F1871" s="8">
        <v>865120</v>
      </c>
      <c r="G1871" s="125">
        <f t="shared" si="49"/>
        <v>0</v>
      </c>
      <c r="H1871" s="247"/>
    </row>
    <row r="1872" spans="1:8" ht="16.5">
      <c r="A1872" s="3">
        <f>IF(F1872="","",COUNTA($F$1249:F1872))</f>
        <v>581</v>
      </c>
      <c r="B1872" s="25" t="s">
        <v>2562</v>
      </c>
      <c r="C1872" s="57" t="s">
        <v>2792</v>
      </c>
      <c r="E1872" s="8">
        <v>401610</v>
      </c>
      <c r="F1872" s="8">
        <v>401610</v>
      </c>
      <c r="G1872" s="125">
        <f t="shared" si="49"/>
        <v>0</v>
      </c>
      <c r="H1872" s="247"/>
    </row>
    <row r="1873" spans="1:8" ht="16.5">
      <c r="A1873" s="3">
        <f>IF(F1873="","",COUNTA($F$1249:F1873))</f>
        <v>582</v>
      </c>
      <c r="B1873" s="25" t="s">
        <v>2563</v>
      </c>
      <c r="C1873" s="57" t="s">
        <v>2792</v>
      </c>
      <c r="E1873" s="8">
        <v>502310</v>
      </c>
      <c r="F1873" s="8">
        <v>502310</v>
      </c>
      <c r="G1873" s="125">
        <f t="shared" si="49"/>
        <v>0</v>
      </c>
      <c r="H1873" s="247"/>
    </row>
    <row r="1874" spans="1:8" ht="16.5">
      <c r="A1874" s="3">
        <f>IF(F1874="","",COUNTA($F$1249:F1874))</f>
        <v>583</v>
      </c>
      <c r="B1874" s="25" t="s">
        <v>2564</v>
      </c>
      <c r="C1874" s="57" t="s">
        <v>2792</v>
      </c>
      <c r="E1874" s="8">
        <v>604910</v>
      </c>
      <c r="F1874" s="8">
        <v>604910</v>
      </c>
      <c r="G1874" s="125">
        <f t="shared" si="49"/>
        <v>0</v>
      </c>
      <c r="H1874" s="247"/>
    </row>
    <row r="1875" spans="1:8" ht="16.5">
      <c r="A1875" s="3">
        <f>IF(F1875="","",COUNTA($F$1249:F1875))</f>
        <v>584</v>
      </c>
      <c r="B1875" s="25" t="s">
        <v>2565</v>
      </c>
      <c r="C1875" s="57" t="s">
        <v>2792</v>
      </c>
      <c r="E1875" s="8">
        <v>740860</v>
      </c>
      <c r="F1875" s="8">
        <v>740860</v>
      </c>
      <c r="G1875" s="125">
        <f t="shared" si="49"/>
        <v>0</v>
      </c>
      <c r="H1875" s="247"/>
    </row>
    <row r="1876" spans="1:8" ht="16.5">
      <c r="A1876" s="3">
        <f>IF(F1876="","",COUNTA($F$1249:F1876))</f>
        <v>585</v>
      </c>
      <c r="B1876" s="25" t="s">
        <v>2566</v>
      </c>
      <c r="C1876" s="57" t="s">
        <v>2792</v>
      </c>
      <c r="E1876" s="8">
        <v>887060</v>
      </c>
      <c r="F1876" s="8">
        <v>887060</v>
      </c>
      <c r="G1876" s="125">
        <f t="shared" si="49"/>
        <v>0</v>
      </c>
      <c r="H1876" s="247"/>
    </row>
    <row r="1877" spans="1:8" ht="16.5">
      <c r="A1877" s="3">
        <f>IF(F1877="","",COUNTA($F$1249:F1877))</f>
        <v>586</v>
      </c>
      <c r="B1877" s="25" t="s">
        <v>2567</v>
      </c>
      <c r="C1877" s="57" t="s">
        <v>2792</v>
      </c>
      <c r="E1877" s="8">
        <v>1069960</v>
      </c>
      <c r="F1877" s="8">
        <v>1069960</v>
      </c>
      <c r="G1877" s="125">
        <f t="shared" si="49"/>
        <v>0</v>
      </c>
      <c r="H1877" s="247"/>
    </row>
    <row r="1878" spans="1:8" ht="16.5">
      <c r="A1878" s="3">
        <f>IF(F1878="","",COUNTA($F$1249:F1878))</f>
        <v>587</v>
      </c>
      <c r="B1878" s="25" t="s">
        <v>2568</v>
      </c>
      <c r="C1878" s="57" t="s">
        <v>2792</v>
      </c>
      <c r="E1878" s="8">
        <v>497500</v>
      </c>
      <c r="F1878" s="8">
        <v>497500</v>
      </c>
      <c r="G1878" s="125">
        <f t="shared" si="49"/>
        <v>0</v>
      </c>
      <c r="H1878" s="247"/>
    </row>
    <row r="1879" spans="1:8" ht="16.5">
      <c r="A1879" s="3">
        <f>IF(F1879="","",COUNTA($F$1249:F1879))</f>
        <v>588</v>
      </c>
      <c r="B1879" s="25" t="s">
        <v>2569</v>
      </c>
      <c r="C1879" s="57" t="s">
        <v>2792</v>
      </c>
      <c r="E1879" s="8">
        <v>612970</v>
      </c>
      <c r="F1879" s="8">
        <v>612970</v>
      </c>
      <c r="G1879" s="125">
        <f t="shared" si="49"/>
        <v>0</v>
      </c>
      <c r="H1879" s="247"/>
    </row>
    <row r="1880" spans="1:8" ht="16.5">
      <c r="A1880" s="3">
        <f>IF(F1880="","",COUNTA($F$1249:F1880))</f>
        <v>589</v>
      </c>
      <c r="B1880" s="25" t="s">
        <v>2570</v>
      </c>
      <c r="C1880" s="57" t="s">
        <v>2792</v>
      </c>
      <c r="E1880" s="8">
        <v>749470</v>
      </c>
      <c r="F1880" s="8">
        <v>749470</v>
      </c>
      <c r="G1880" s="125">
        <f t="shared" si="49"/>
        <v>0</v>
      </c>
      <c r="H1880" s="247"/>
    </row>
    <row r="1881" spans="1:8" ht="16.5">
      <c r="A1881" s="3">
        <f>IF(F1881="","",COUNTA($F$1249:F1881))</f>
        <v>590</v>
      </c>
      <c r="B1881" s="25" t="s">
        <v>2571</v>
      </c>
      <c r="C1881" s="57" t="s">
        <v>2792</v>
      </c>
      <c r="E1881" s="8">
        <v>921140</v>
      </c>
      <c r="F1881" s="8">
        <v>921140</v>
      </c>
      <c r="G1881" s="125">
        <f t="shared" si="49"/>
        <v>0</v>
      </c>
      <c r="H1881" s="247"/>
    </row>
    <row r="1882" spans="1:8" ht="16.5">
      <c r="A1882" s="3">
        <f>IF(F1882="","",COUNTA($F$1249:F1882))</f>
        <v>591</v>
      </c>
      <c r="B1882" s="25" t="s">
        <v>2572</v>
      </c>
      <c r="C1882" s="57" t="s">
        <v>2792</v>
      </c>
      <c r="E1882" s="8">
        <v>1103590</v>
      </c>
      <c r="F1882" s="8">
        <v>1103590</v>
      </c>
      <c r="G1882" s="125">
        <f t="shared" si="49"/>
        <v>0</v>
      </c>
      <c r="H1882" s="247"/>
    </row>
    <row r="1883" spans="1:8" ht="16.5">
      <c r="A1883" s="3">
        <f>IF(F1883="","",COUNTA($F$1249:F1883))</f>
        <v>592</v>
      </c>
      <c r="B1883" s="25" t="s">
        <v>2573</v>
      </c>
      <c r="C1883" s="57" t="s">
        <v>2792</v>
      </c>
      <c r="E1883" s="8">
        <v>1320390</v>
      </c>
      <c r="F1883" s="8">
        <v>1320390</v>
      </c>
      <c r="G1883" s="125">
        <f t="shared" si="49"/>
        <v>0</v>
      </c>
      <c r="H1883" s="247"/>
    </row>
    <row r="1884" spans="1:8" ht="16.5">
      <c r="A1884" s="3">
        <f>IF(F1884="","",COUNTA($F$1249:F1884))</f>
        <v>593</v>
      </c>
      <c r="B1884" s="25" t="s">
        <v>2574</v>
      </c>
      <c r="C1884" s="57" t="s">
        <v>2792</v>
      </c>
      <c r="E1884" s="8">
        <v>616960</v>
      </c>
      <c r="F1884" s="8">
        <v>616960</v>
      </c>
      <c r="G1884" s="125">
        <f t="shared" si="49"/>
        <v>0</v>
      </c>
      <c r="H1884" s="247"/>
    </row>
    <row r="1885" spans="1:8" ht="16.5">
      <c r="A1885" s="3">
        <f>IF(F1885="","",COUNTA($F$1249:F1885))</f>
        <v>594</v>
      </c>
      <c r="B1885" s="25" t="s">
        <v>2575</v>
      </c>
      <c r="C1885" s="57" t="s">
        <v>2792</v>
      </c>
      <c r="E1885" s="8">
        <v>781920</v>
      </c>
      <c r="F1885" s="8">
        <v>781920</v>
      </c>
      <c r="G1885" s="125">
        <f t="shared" si="49"/>
        <v>0</v>
      </c>
      <c r="H1885" s="247"/>
    </row>
    <row r="1886" spans="1:8" ht="16.5">
      <c r="A1886" s="3">
        <f>IF(F1886="","",COUNTA($F$1249:F1886))</f>
        <v>595</v>
      </c>
      <c r="B1886" s="25" t="s">
        <v>2576</v>
      </c>
      <c r="C1886" s="57" t="s">
        <v>2792</v>
      </c>
      <c r="E1886" s="8">
        <v>933830</v>
      </c>
      <c r="F1886" s="8">
        <v>933830</v>
      </c>
      <c r="G1886" s="125">
        <f t="shared" si="49"/>
        <v>0</v>
      </c>
      <c r="H1886" s="247"/>
    </row>
    <row r="1887" spans="1:8" ht="16.5">
      <c r="A1887" s="3">
        <f>IF(F1887="","",COUNTA($F$1249:F1887))</f>
        <v>596</v>
      </c>
      <c r="B1887" s="25" t="s">
        <v>2577</v>
      </c>
      <c r="C1887" s="57" t="s">
        <v>2792</v>
      </c>
      <c r="E1887" s="8">
        <v>1154890</v>
      </c>
      <c r="F1887" s="8">
        <v>1154890</v>
      </c>
      <c r="G1887" s="125">
        <f t="shared" si="49"/>
        <v>0</v>
      </c>
      <c r="H1887" s="247"/>
    </row>
    <row r="1888" spans="1:8" ht="16.5">
      <c r="A1888" s="3">
        <f>IF(F1888="","",COUNTA($F$1249:F1888))</f>
        <v>597</v>
      </c>
      <c r="B1888" s="25" t="s">
        <v>2578</v>
      </c>
      <c r="C1888" s="57" t="s">
        <v>2792</v>
      </c>
      <c r="E1888" s="8">
        <v>1383110</v>
      </c>
      <c r="F1888" s="8">
        <v>1383110</v>
      </c>
      <c r="G1888" s="125">
        <f t="shared" si="49"/>
        <v>0</v>
      </c>
      <c r="H1888" s="247"/>
    </row>
    <row r="1889" spans="1:8" ht="16.5">
      <c r="A1889" s="3">
        <f>IF(F1889="","",COUNTA($F$1249:F1889))</f>
        <v>598</v>
      </c>
      <c r="B1889" s="25" t="s">
        <v>2579</v>
      </c>
      <c r="C1889" s="57" t="s">
        <v>2792</v>
      </c>
      <c r="E1889" s="8">
        <v>1653840</v>
      </c>
      <c r="F1889" s="8">
        <v>1653840</v>
      </c>
      <c r="G1889" s="125">
        <f t="shared" si="49"/>
        <v>0</v>
      </c>
      <c r="H1889" s="247"/>
    </row>
    <row r="1890" spans="1:8" ht="16.5">
      <c r="A1890" s="3">
        <f>IF(F1890="","",COUNTA($F$1249:F1890))</f>
        <v>599</v>
      </c>
      <c r="B1890" s="25" t="s">
        <v>2580</v>
      </c>
      <c r="C1890" s="57" t="s">
        <v>2792</v>
      </c>
      <c r="E1890" s="8">
        <v>786720</v>
      </c>
      <c r="F1890" s="8">
        <v>786720</v>
      </c>
      <c r="G1890" s="125">
        <f t="shared" si="49"/>
        <v>0</v>
      </c>
      <c r="H1890" s="247"/>
    </row>
    <row r="1891" spans="1:8" ht="16.5">
      <c r="A1891" s="3">
        <f>IF(F1891="","",COUNTA($F$1249:F1891))</f>
        <v>600</v>
      </c>
      <c r="B1891" s="25" t="s">
        <v>2581</v>
      </c>
      <c r="C1891" s="57" t="s">
        <v>2792</v>
      </c>
      <c r="E1891" s="8">
        <v>979510</v>
      </c>
      <c r="F1891" s="8">
        <v>979510</v>
      </c>
      <c r="G1891" s="125">
        <f t="shared" si="49"/>
        <v>0</v>
      </c>
      <c r="H1891" s="247"/>
    </row>
    <row r="1892" spans="1:8" ht="16.5">
      <c r="A1892" s="3">
        <f>IF(F1892="","",COUNTA($F$1249:F1892))</f>
        <v>601</v>
      </c>
      <c r="B1892" s="25" t="s">
        <v>2582</v>
      </c>
      <c r="C1892" s="57" t="s">
        <v>2792</v>
      </c>
      <c r="E1892" s="8">
        <v>1189150</v>
      </c>
      <c r="F1892" s="8">
        <v>1189150</v>
      </c>
      <c r="G1892" s="125">
        <f t="shared" si="49"/>
        <v>0</v>
      </c>
      <c r="H1892" s="247"/>
    </row>
    <row r="1893" spans="1:8" ht="16.5">
      <c r="A1893" s="3">
        <f>IF(F1893="","",COUNTA($F$1249:F1893))</f>
        <v>602</v>
      </c>
      <c r="B1893" s="25" t="s">
        <v>2583</v>
      </c>
      <c r="C1893" s="57" t="s">
        <v>2792</v>
      </c>
      <c r="E1893" s="8">
        <v>1444470</v>
      </c>
      <c r="F1893" s="8">
        <v>1444470</v>
      </c>
      <c r="G1893" s="125">
        <f t="shared" si="49"/>
        <v>0</v>
      </c>
      <c r="H1893" s="247"/>
    </row>
    <row r="1894" spans="1:8" ht="16.5">
      <c r="A1894" s="3">
        <f>IF(F1894="","",COUNTA($F$1249:F1894))</f>
        <v>603</v>
      </c>
      <c r="B1894" s="25" t="s">
        <v>2584</v>
      </c>
      <c r="C1894" s="57" t="s">
        <v>2792</v>
      </c>
      <c r="E1894" s="8">
        <v>1750730</v>
      </c>
      <c r="F1894" s="8">
        <v>1750730</v>
      </c>
      <c r="G1894" s="125">
        <f t="shared" si="49"/>
        <v>0</v>
      </c>
      <c r="H1894" s="247"/>
    </row>
    <row r="1895" spans="1:8" ht="16.5">
      <c r="A1895" s="3">
        <f>IF(F1895="","",COUNTA($F$1249:F1895))</f>
        <v>604</v>
      </c>
      <c r="B1895" s="25" t="s">
        <v>2585</v>
      </c>
      <c r="C1895" s="57" t="s">
        <v>2792</v>
      </c>
      <c r="E1895" s="8">
        <v>2106840</v>
      </c>
      <c r="F1895" s="8">
        <v>2106840</v>
      </c>
      <c r="G1895" s="125">
        <f t="shared" si="49"/>
        <v>0</v>
      </c>
      <c r="H1895" s="247"/>
    </row>
    <row r="1896" spans="1:8" ht="16.5">
      <c r="A1896" s="3">
        <f>IF(F1896="","",COUNTA($F$1249:F1896))</f>
        <v>605</v>
      </c>
      <c r="B1896" s="25" t="s">
        <v>2586</v>
      </c>
      <c r="C1896" s="57" t="s">
        <v>2792</v>
      </c>
      <c r="E1896" s="8">
        <v>999270</v>
      </c>
      <c r="F1896" s="8">
        <v>999270</v>
      </c>
      <c r="G1896" s="125">
        <f t="shared" si="49"/>
        <v>0</v>
      </c>
      <c r="H1896" s="247"/>
    </row>
    <row r="1897" spans="1:8" ht="16.5">
      <c r="A1897" s="3">
        <f>IF(F1897="","",COUNTA($F$1249:F1897))</f>
        <v>606</v>
      </c>
      <c r="B1897" s="25" t="s">
        <v>2587</v>
      </c>
      <c r="C1897" s="57" t="s">
        <v>2792</v>
      </c>
      <c r="E1897" s="8">
        <v>1231750</v>
      </c>
      <c r="F1897" s="8">
        <v>1231750</v>
      </c>
      <c r="G1897" s="125">
        <f t="shared" si="49"/>
        <v>0</v>
      </c>
      <c r="H1897" s="247"/>
    </row>
    <row r="1898" spans="1:8" ht="16.5">
      <c r="A1898" s="3">
        <f>IF(F1898="","",COUNTA($F$1249:F1898))</f>
        <v>607</v>
      </c>
      <c r="B1898" s="25" t="s">
        <v>2588</v>
      </c>
      <c r="C1898" s="57" t="s">
        <v>2792</v>
      </c>
      <c r="E1898" s="8">
        <v>1511180</v>
      </c>
      <c r="F1898" s="8">
        <v>1511180</v>
      </c>
      <c r="G1898" s="125">
        <f t="shared" si="49"/>
        <v>0</v>
      </c>
      <c r="H1898" s="247"/>
    </row>
    <row r="1899" spans="1:8" ht="16.5">
      <c r="A1899" s="3">
        <f>IF(F1899="","",COUNTA($F$1249:F1899))</f>
        <v>608</v>
      </c>
      <c r="B1899" s="25" t="s">
        <v>2589</v>
      </c>
      <c r="C1899" s="57" t="s">
        <v>2792</v>
      </c>
      <c r="E1899" s="8">
        <v>1832030</v>
      </c>
      <c r="F1899" s="8">
        <v>1832030</v>
      </c>
      <c r="G1899" s="125">
        <f t="shared" si="49"/>
        <v>0</v>
      </c>
      <c r="H1899" s="247"/>
    </row>
    <row r="1900" spans="1:8" ht="16.5">
      <c r="A1900" s="3">
        <f>IF(F1900="","",COUNTA($F$1249:F1900))</f>
        <v>609</v>
      </c>
      <c r="B1900" s="25" t="s">
        <v>2590</v>
      </c>
      <c r="C1900" s="57" t="s">
        <v>2792</v>
      </c>
      <c r="E1900" s="8">
        <v>2222590</v>
      </c>
      <c r="F1900" s="8">
        <v>2222590</v>
      </c>
      <c r="G1900" s="125">
        <f t="shared" si="49"/>
        <v>0</v>
      </c>
      <c r="H1900" s="247"/>
    </row>
    <row r="1901" spans="1:8" ht="16.5">
      <c r="A1901" s="3">
        <f>IF(F1901="","",COUNTA($F$1249:F1901))</f>
        <v>610</v>
      </c>
      <c r="B1901" s="25" t="s">
        <v>2591</v>
      </c>
      <c r="C1901" s="57" t="s">
        <v>2792</v>
      </c>
      <c r="E1901" s="8">
        <v>2672680</v>
      </c>
      <c r="F1901" s="8">
        <v>2672680</v>
      </c>
      <c r="G1901" s="125">
        <f t="shared" si="49"/>
        <v>0</v>
      </c>
      <c r="H1901" s="247"/>
    </row>
    <row r="1902" spans="1:8" ht="16.5">
      <c r="A1902" s="3">
        <f>IF(F1902="","",COUNTA($F$1249:F1902))</f>
        <v>611</v>
      </c>
      <c r="B1902" s="25" t="s">
        <v>2592</v>
      </c>
      <c r="C1902" s="57" t="s">
        <v>2792</v>
      </c>
      <c r="E1902" s="8">
        <v>1260660</v>
      </c>
      <c r="F1902" s="8">
        <v>1260660</v>
      </c>
      <c r="G1902" s="125">
        <f t="shared" si="49"/>
        <v>0</v>
      </c>
      <c r="H1902" s="247"/>
    </row>
    <row r="1903" spans="1:8" ht="16.5">
      <c r="A1903" s="3">
        <f>IF(F1903="","",COUNTA($F$1249:F1903))</f>
        <v>612</v>
      </c>
      <c r="B1903" s="25" t="s">
        <v>2593</v>
      </c>
      <c r="C1903" s="57" t="s">
        <v>2792</v>
      </c>
      <c r="E1903" s="8">
        <v>1579610</v>
      </c>
      <c r="F1903" s="8">
        <v>1579610</v>
      </c>
      <c r="G1903" s="125">
        <f t="shared" si="49"/>
        <v>0</v>
      </c>
      <c r="H1903" s="247"/>
    </row>
    <row r="1904" spans="1:8" ht="16.5">
      <c r="A1904" s="3">
        <f>IF(F1904="","",COUNTA($F$1249:F1904))</f>
        <v>613</v>
      </c>
      <c r="B1904" s="25" t="s">
        <v>2594</v>
      </c>
      <c r="C1904" s="57" t="s">
        <v>2792</v>
      </c>
      <c r="E1904" s="8">
        <v>1920220</v>
      </c>
      <c r="F1904" s="8">
        <v>1920220</v>
      </c>
      <c r="G1904" s="125">
        <f t="shared" si="49"/>
        <v>0</v>
      </c>
      <c r="H1904" s="247"/>
    </row>
    <row r="1905" spans="1:8" ht="16.5">
      <c r="A1905" s="3">
        <f>IF(F1905="","",COUNTA($F$1249:F1905))</f>
        <v>614</v>
      </c>
      <c r="B1905" s="25" t="s">
        <v>2595</v>
      </c>
      <c r="C1905" s="57" t="s">
        <v>2792</v>
      </c>
      <c r="E1905" s="8">
        <v>2319380</v>
      </c>
      <c r="F1905" s="8">
        <v>2319380</v>
      </c>
      <c r="G1905" s="125">
        <f t="shared" si="49"/>
        <v>0</v>
      </c>
      <c r="H1905" s="247"/>
    </row>
    <row r="1906" spans="1:8" ht="16.5">
      <c r="A1906" s="3">
        <f>IF(F1906="","",COUNTA($F$1249:F1906))</f>
        <v>615</v>
      </c>
      <c r="B1906" s="25" t="s">
        <v>2596</v>
      </c>
      <c r="C1906" s="57" t="s">
        <v>2792</v>
      </c>
      <c r="E1906" s="8">
        <v>2832480</v>
      </c>
      <c r="F1906" s="8">
        <v>2832480</v>
      </c>
      <c r="G1906" s="125">
        <f t="shared" si="49"/>
        <v>0</v>
      </c>
      <c r="H1906" s="247"/>
    </row>
    <row r="1907" spans="1:8" ht="16.5">
      <c r="A1907" s="3">
        <f>IF(F1907="","",COUNTA($F$1249:F1907))</f>
        <v>616</v>
      </c>
      <c r="B1907" s="25" t="s">
        <v>2597</v>
      </c>
      <c r="C1907" s="57" t="s">
        <v>2792</v>
      </c>
      <c r="E1907" s="8">
        <v>3403940</v>
      </c>
      <c r="F1907" s="8">
        <v>3403940</v>
      </c>
      <c r="G1907" s="125">
        <f t="shared" si="49"/>
        <v>0</v>
      </c>
      <c r="H1907" s="247"/>
    </row>
    <row r="1908" spans="1:8" ht="16.5">
      <c r="A1908" s="3">
        <f>IF(F1908="","",COUNTA($F$1249:F1908))</f>
        <v>617</v>
      </c>
      <c r="B1908" s="25" t="s">
        <v>2598</v>
      </c>
      <c r="C1908" s="57" t="s">
        <v>2792</v>
      </c>
      <c r="E1908" s="8">
        <v>1611060</v>
      </c>
      <c r="F1908" s="8">
        <v>1611060</v>
      </c>
      <c r="G1908" s="125">
        <f t="shared" si="49"/>
        <v>0</v>
      </c>
      <c r="H1908" s="247"/>
    </row>
    <row r="1909" spans="1:8" ht="16.5">
      <c r="A1909" s="3">
        <f>IF(F1909="","",COUNTA($F$1249:F1909))</f>
        <v>618</v>
      </c>
      <c r="B1909" s="25" t="s">
        <v>2599</v>
      </c>
      <c r="C1909" s="57" t="s">
        <v>2792</v>
      </c>
      <c r="E1909" s="8">
        <v>1982760</v>
      </c>
      <c r="F1909" s="8">
        <v>1982760</v>
      </c>
      <c r="G1909" s="125">
        <f t="shared" si="49"/>
        <v>0</v>
      </c>
      <c r="H1909" s="247"/>
    </row>
    <row r="1910" spans="1:8" ht="16.5">
      <c r="A1910" s="3">
        <f>IF(F1910="","",COUNTA($F$1249:F1910))</f>
        <v>619</v>
      </c>
      <c r="B1910" s="25" t="s">
        <v>2600</v>
      </c>
      <c r="C1910" s="57" t="s">
        <v>2792</v>
      </c>
      <c r="E1910" s="8">
        <v>2426430</v>
      </c>
      <c r="F1910" s="8">
        <v>2426430</v>
      </c>
      <c r="G1910" s="125">
        <f t="shared" si="49"/>
        <v>0</v>
      </c>
      <c r="H1910" s="247"/>
    </row>
    <row r="1911" spans="1:8" ht="16.5">
      <c r="A1911" s="3">
        <f>IF(F1911="","",COUNTA($F$1249:F1911))</f>
        <v>620</v>
      </c>
      <c r="B1911" s="25" t="s">
        <v>2601</v>
      </c>
      <c r="C1911" s="57" t="s">
        <v>2792</v>
      </c>
      <c r="E1911" s="8">
        <v>2932540</v>
      </c>
      <c r="F1911" s="8">
        <v>2932540</v>
      </c>
      <c r="G1911" s="125">
        <f t="shared" si="49"/>
        <v>0</v>
      </c>
      <c r="H1911" s="247"/>
    </row>
    <row r="1912" spans="1:8" ht="16.5">
      <c r="A1912" s="3">
        <f>IF(F1912="","",COUNTA($F$1249:F1912))</f>
        <v>621</v>
      </c>
      <c r="B1912" s="25" t="s">
        <v>2602</v>
      </c>
      <c r="C1912" s="57" t="s">
        <v>2792</v>
      </c>
      <c r="E1912" s="8">
        <v>3585120</v>
      </c>
      <c r="F1912" s="8">
        <v>3585120</v>
      </c>
      <c r="G1912" s="125">
        <f t="shared" si="49"/>
        <v>0</v>
      </c>
      <c r="H1912" s="247"/>
    </row>
    <row r="1913" spans="1:8" ht="16.5">
      <c r="A1913" s="3">
        <f>IF(F1913="","",COUNTA($F$1249:F1913))</f>
        <v>622</v>
      </c>
      <c r="B1913" s="25" t="s">
        <v>2603</v>
      </c>
      <c r="C1913" s="57" t="s">
        <v>2792</v>
      </c>
      <c r="E1913" s="8">
        <v>4303140</v>
      </c>
      <c r="F1913" s="8">
        <v>4303140</v>
      </c>
      <c r="G1913" s="125">
        <f t="shared" si="49"/>
        <v>0</v>
      </c>
      <c r="H1913" s="247"/>
    </row>
    <row r="1914" spans="1:8" ht="16.5">
      <c r="A1914" s="3">
        <f>IF(F1914="","",COUNTA($F$1249:F1914))</f>
        <v>623</v>
      </c>
      <c r="B1914" s="25" t="s">
        <v>2604</v>
      </c>
      <c r="C1914" s="57" t="s">
        <v>2792</v>
      </c>
      <c r="E1914" s="8">
        <v>1962010</v>
      </c>
      <c r="F1914" s="8">
        <v>1962010</v>
      </c>
      <c r="G1914" s="125">
        <f t="shared" si="49"/>
        <v>0</v>
      </c>
      <c r="H1914" s="247"/>
    </row>
    <row r="1915" spans="1:8" ht="16.5">
      <c r="A1915" s="3">
        <f>IF(F1915="","",COUNTA($F$1249:F1915))</f>
        <v>624</v>
      </c>
      <c r="B1915" s="25" t="s">
        <v>2605</v>
      </c>
      <c r="C1915" s="57" t="s">
        <v>2792</v>
      </c>
      <c r="E1915" s="8">
        <v>2459690</v>
      </c>
      <c r="F1915" s="8">
        <v>2459690</v>
      </c>
      <c r="G1915" s="125">
        <f t="shared" si="49"/>
        <v>0</v>
      </c>
      <c r="H1915" s="247"/>
    </row>
    <row r="1916" spans="1:8" ht="16.5">
      <c r="A1916" s="3">
        <f>IF(F1916="","",COUNTA($F$1249:F1916))</f>
        <v>625</v>
      </c>
      <c r="B1916" s="25" t="s">
        <v>2606</v>
      </c>
      <c r="C1916" s="57" t="s">
        <v>2792</v>
      </c>
      <c r="E1916" s="8">
        <v>3017380</v>
      </c>
      <c r="F1916" s="8">
        <v>3017380</v>
      </c>
      <c r="G1916" s="125">
        <f t="shared" si="49"/>
        <v>0</v>
      </c>
      <c r="H1916" s="247"/>
    </row>
    <row r="1917" spans="1:8" ht="16.5">
      <c r="A1917" s="3">
        <f>IF(F1917="","",COUNTA($F$1249:F1917))</f>
        <v>626</v>
      </c>
      <c r="B1917" s="25" t="s">
        <v>2607</v>
      </c>
      <c r="C1917" s="57" t="s">
        <v>2792</v>
      </c>
      <c r="E1917" s="8">
        <v>3649560</v>
      </c>
      <c r="F1917" s="8">
        <v>3649560</v>
      </c>
      <c r="G1917" s="125">
        <f t="shared" si="49"/>
        <v>0</v>
      </c>
      <c r="H1917" s="247"/>
    </row>
    <row r="1918" spans="1:8" ht="16.5">
      <c r="A1918" s="3">
        <f>IF(F1918="","",COUNTA($F$1249:F1918))</f>
        <v>627</v>
      </c>
      <c r="B1918" s="25" t="s">
        <v>2608</v>
      </c>
      <c r="C1918" s="57" t="s">
        <v>2792</v>
      </c>
      <c r="E1918" s="8">
        <v>4444170</v>
      </c>
      <c r="F1918" s="8">
        <v>4444170</v>
      </c>
      <c r="G1918" s="125">
        <f t="shared" si="49"/>
        <v>0</v>
      </c>
      <c r="H1918" s="247"/>
    </row>
    <row r="1919" spans="1:8" ht="16.5">
      <c r="A1919" s="3">
        <f>IF(F1919="","",COUNTA($F$1249:F1919))</f>
        <v>628</v>
      </c>
      <c r="B1919" s="25" t="s">
        <v>2609</v>
      </c>
      <c r="C1919" s="57" t="s">
        <v>2792</v>
      </c>
      <c r="E1919" s="8">
        <v>5322530</v>
      </c>
      <c r="F1919" s="8">
        <v>5322530</v>
      </c>
      <c r="G1919" s="125">
        <f t="shared" si="49"/>
        <v>0</v>
      </c>
      <c r="H1919" s="247"/>
    </row>
    <row r="1920" spans="1:8" ht="16.5">
      <c r="A1920" s="3">
        <f>IF(F1920="","",COUNTA($F$1249:F1920))</f>
        <v>629</v>
      </c>
      <c r="B1920" s="25" t="s">
        <v>2610</v>
      </c>
      <c r="C1920" s="57" t="s">
        <v>2792</v>
      </c>
      <c r="E1920" s="8">
        <v>2694620</v>
      </c>
      <c r="F1920" s="8">
        <v>2694620</v>
      </c>
      <c r="G1920" s="125">
        <f t="shared" si="49"/>
        <v>0</v>
      </c>
      <c r="H1920" s="247"/>
    </row>
    <row r="1921" spans="1:8" ht="16.5">
      <c r="A1921" s="3">
        <f>IF(F1921="","",COUNTA($F$1249:F1921))</f>
        <v>630</v>
      </c>
      <c r="B1921" s="25" t="s">
        <v>2611</v>
      </c>
      <c r="C1921" s="57" t="s">
        <v>2792</v>
      </c>
      <c r="E1921" s="8">
        <v>3322730</v>
      </c>
      <c r="F1921" s="8">
        <v>3322730</v>
      </c>
      <c r="G1921" s="125">
        <f t="shared" si="49"/>
        <v>0</v>
      </c>
      <c r="H1921" s="247"/>
    </row>
    <row r="1922" spans="1:8" ht="16.5">
      <c r="A1922" s="3">
        <f>IF(F1922="","",COUNTA($F$1249:F1922))</f>
        <v>631</v>
      </c>
      <c r="B1922" s="25" t="s">
        <v>2612</v>
      </c>
      <c r="C1922" s="57" t="s">
        <v>2792</v>
      </c>
      <c r="E1922" s="8">
        <v>4079540</v>
      </c>
      <c r="F1922" s="8">
        <v>4079540</v>
      </c>
      <c r="G1922" s="125">
        <f aca="true" t="shared" si="50" ref="G1922:G1985">(E1922-F1922)/E1922</f>
        <v>0</v>
      </c>
      <c r="H1922" s="247"/>
    </row>
    <row r="1923" spans="1:8" ht="16.5">
      <c r="A1923" s="3">
        <f>IF(F1923="","",COUNTA($F$1249:F1923))</f>
        <v>632</v>
      </c>
      <c r="B1923" s="25" t="s">
        <v>2613</v>
      </c>
      <c r="C1923" s="57" t="s">
        <v>2792</v>
      </c>
      <c r="E1923" s="8">
        <v>4979560</v>
      </c>
      <c r="F1923" s="8">
        <v>4979560</v>
      </c>
      <c r="G1923" s="125">
        <f t="shared" si="50"/>
        <v>0</v>
      </c>
      <c r="H1923" s="247"/>
    </row>
    <row r="1924" spans="1:8" ht="16.5">
      <c r="A1924" s="3">
        <f>IF(F1924="","",COUNTA($F$1249:F1924))</f>
        <v>633</v>
      </c>
      <c r="B1924" s="25" t="s">
        <v>2614</v>
      </c>
      <c r="C1924" s="57" t="s">
        <v>2792</v>
      </c>
      <c r="E1924" s="8">
        <v>6014630</v>
      </c>
      <c r="F1924" s="8">
        <v>6014630</v>
      </c>
      <c r="G1924" s="125">
        <f t="shared" si="50"/>
        <v>0</v>
      </c>
      <c r="H1924" s="247"/>
    </row>
    <row r="1925" spans="1:8" ht="16.5">
      <c r="A1925" s="3">
        <f>IF(F1925="","",COUNTA($F$1249:F1925))</f>
        <v>634</v>
      </c>
      <c r="B1925" s="25" t="s">
        <v>2615</v>
      </c>
      <c r="C1925" s="57" t="s">
        <v>2792</v>
      </c>
      <c r="E1925" s="8">
        <v>3414270</v>
      </c>
      <c r="F1925" s="8">
        <v>3414270</v>
      </c>
      <c r="G1925" s="125">
        <f t="shared" si="50"/>
        <v>0</v>
      </c>
      <c r="H1925" s="247"/>
    </row>
    <row r="1926" spans="1:8" ht="16.5">
      <c r="A1926" s="3">
        <f>IF(F1926="","",COUNTA($F$1249:F1926))</f>
        <v>635</v>
      </c>
      <c r="B1926" s="25" t="s">
        <v>2616</v>
      </c>
      <c r="C1926" s="57" t="s">
        <v>2792</v>
      </c>
      <c r="E1926" s="8">
        <v>4198280</v>
      </c>
      <c r="F1926" s="8">
        <v>4198280</v>
      </c>
      <c r="G1926" s="125">
        <f t="shared" si="50"/>
        <v>0</v>
      </c>
      <c r="H1926" s="247"/>
    </row>
    <row r="1927" spans="1:8" ht="16.5">
      <c r="A1927" s="3">
        <f>IF(F1927="","",COUNTA($F$1249:F1927))</f>
        <v>636</v>
      </c>
      <c r="B1927" s="25" t="s">
        <v>2617</v>
      </c>
      <c r="C1927" s="57" t="s">
        <v>2792</v>
      </c>
      <c r="E1927" s="8">
        <v>5167180</v>
      </c>
      <c r="F1927" s="8">
        <v>5167180</v>
      </c>
      <c r="G1927" s="125">
        <f t="shared" si="50"/>
        <v>0</v>
      </c>
      <c r="H1927" s="247"/>
    </row>
    <row r="1928" spans="1:8" ht="16.5">
      <c r="A1928" s="3">
        <f>IF(F1928="","",COUNTA($F$1249:F1928))</f>
        <v>637</v>
      </c>
      <c r="B1928" s="25" t="s">
        <v>2618</v>
      </c>
      <c r="C1928" s="57" t="s">
        <v>2792</v>
      </c>
      <c r="E1928" s="8">
        <v>6293790</v>
      </c>
      <c r="F1928" s="8">
        <v>6293790</v>
      </c>
      <c r="G1928" s="125">
        <f t="shared" si="50"/>
        <v>0</v>
      </c>
      <c r="H1928" s="247"/>
    </row>
    <row r="1929" spans="1:8" ht="16.5">
      <c r="A1929" s="3">
        <f>IF(F1929="","",COUNTA($F$1249:F1929))</f>
        <v>638</v>
      </c>
      <c r="B1929" s="25" t="s">
        <v>2619</v>
      </c>
      <c r="C1929" s="57" t="s">
        <v>2792</v>
      </c>
      <c r="E1929" s="8">
        <v>7145770</v>
      </c>
      <c r="F1929" s="8">
        <v>7145770</v>
      </c>
      <c r="G1929" s="125">
        <f t="shared" si="50"/>
        <v>0</v>
      </c>
      <c r="H1929" s="247"/>
    </row>
    <row r="1930" spans="1:8" ht="16.5">
      <c r="A1930" s="3">
        <f>IF(F1930="","",COUNTA($F$1249:F1930))</f>
        <v>639</v>
      </c>
      <c r="B1930" s="25" t="s">
        <v>2620</v>
      </c>
      <c r="C1930" s="57" t="s">
        <v>2792</v>
      </c>
      <c r="E1930" s="8">
        <v>4346920</v>
      </c>
      <c r="F1930" s="8">
        <v>4346920</v>
      </c>
      <c r="G1930" s="125">
        <f t="shared" si="50"/>
        <v>0</v>
      </c>
      <c r="H1930" s="247"/>
    </row>
    <row r="1931" spans="1:8" ht="16.5">
      <c r="A1931" s="3">
        <f>IF(F1931="","",COUNTA($F$1249:F1931))</f>
        <v>640</v>
      </c>
      <c r="B1931" s="25" t="s">
        <v>2621</v>
      </c>
      <c r="C1931" s="57" t="s">
        <v>2792</v>
      </c>
      <c r="E1931" s="8">
        <v>5352980</v>
      </c>
      <c r="F1931" s="8">
        <v>5352980</v>
      </c>
      <c r="G1931" s="125">
        <f t="shared" si="50"/>
        <v>0</v>
      </c>
      <c r="H1931" s="247"/>
    </row>
    <row r="1932" spans="1:8" ht="16.5">
      <c r="A1932" s="3">
        <f>IF(F1932="","",COUNTA($F$1249:F1932))</f>
        <v>641</v>
      </c>
      <c r="B1932" s="25" t="s">
        <v>2622</v>
      </c>
      <c r="C1932" s="57" t="s">
        <v>2792</v>
      </c>
      <c r="E1932" s="8">
        <v>6566600</v>
      </c>
      <c r="F1932" s="8">
        <v>6566600</v>
      </c>
      <c r="G1932" s="125">
        <f t="shared" si="50"/>
        <v>0</v>
      </c>
      <c r="H1932" s="247"/>
    </row>
    <row r="1933" spans="1:8" ht="16.5">
      <c r="A1933" s="3">
        <f>IF(F1933="","",COUNTA($F$1249:F1933))</f>
        <v>642</v>
      </c>
      <c r="B1933" s="25" t="s">
        <v>2623</v>
      </c>
      <c r="C1933" s="57" t="s">
        <v>2792</v>
      </c>
      <c r="E1933" s="8">
        <v>8007720</v>
      </c>
      <c r="F1933" s="8">
        <v>8007720</v>
      </c>
      <c r="G1933" s="125">
        <f t="shared" si="50"/>
        <v>0</v>
      </c>
      <c r="H1933" s="247"/>
    </row>
    <row r="1934" spans="1:8" ht="16.5">
      <c r="A1934" s="3">
        <f>IF(F1934="","",COUNTA($F$1249:F1934))</f>
        <v>643</v>
      </c>
      <c r="B1934" s="25" t="s">
        <v>2624</v>
      </c>
      <c r="C1934" s="57" t="s">
        <v>2792</v>
      </c>
      <c r="E1934" s="8">
        <v>9694470</v>
      </c>
      <c r="F1934" s="8">
        <v>9694470</v>
      </c>
      <c r="G1934" s="125">
        <f t="shared" si="50"/>
        <v>0</v>
      </c>
      <c r="H1934" s="247"/>
    </row>
    <row r="1935" spans="1:8" ht="16.5">
      <c r="A1935" s="3">
        <f>IF(F1935="","",COUNTA($F$1249:F1935))</f>
        <v>644</v>
      </c>
      <c r="B1935" s="25" t="s">
        <v>2625</v>
      </c>
      <c r="C1935" s="57" t="s">
        <v>2792</v>
      </c>
      <c r="E1935" s="8">
        <v>5505250</v>
      </c>
      <c r="F1935" s="8">
        <v>5505250</v>
      </c>
      <c r="G1935" s="125">
        <f t="shared" si="50"/>
        <v>0</v>
      </c>
      <c r="H1935" s="247"/>
    </row>
    <row r="1936" spans="1:8" ht="16.5">
      <c r="A1936" s="3">
        <f>IF(F1936="","",COUNTA($F$1249:F1936))</f>
        <v>645</v>
      </c>
      <c r="B1936" s="25" t="s">
        <v>2626</v>
      </c>
      <c r="C1936" s="57" t="s">
        <v>2792</v>
      </c>
      <c r="E1936" s="8">
        <v>6785040</v>
      </c>
      <c r="F1936" s="8">
        <v>6785040</v>
      </c>
      <c r="G1936" s="125">
        <f t="shared" si="50"/>
        <v>0</v>
      </c>
      <c r="H1936" s="247"/>
    </row>
    <row r="1937" spans="1:8" ht="16.5">
      <c r="A1937" s="3">
        <f>IF(F1937="","",COUNTA($F$1249:F1937))</f>
        <v>646</v>
      </c>
      <c r="B1937" s="25" t="s">
        <v>2627</v>
      </c>
      <c r="C1937" s="57" t="s">
        <v>2792</v>
      </c>
      <c r="E1937" s="8">
        <v>8326760</v>
      </c>
      <c r="F1937" s="8">
        <v>8326760</v>
      </c>
      <c r="G1937" s="125">
        <f t="shared" si="50"/>
        <v>0</v>
      </c>
      <c r="H1937" s="247"/>
    </row>
    <row r="1938" spans="1:8" ht="16.5">
      <c r="A1938" s="3">
        <f>IF(F1938="","",COUNTA($F$1249:F1938))</f>
        <v>647</v>
      </c>
      <c r="B1938" s="25" t="s">
        <v>2628</v>
      </c>
      <c r="C1938" s="57" t="s">
        <v>2792</v>
      </c>
      <c r="E1938" s="8">
        <v>10165800</v>
      </c>
      <c r="F1938" s="8">
        <v>10165800</v>
      </c>
      <c r="G1938" s="125">
        <f t="shared" si="50"/>
        <v>0</v>
      </c>
      <c r="H1938" s="247"/>
    </row>
    <row r="1939" spans="1:8" ht="16.5">
      <c r="A1939" s="3">
        <f>IF(F1939="","",COUNTA($F$1249:F1939))</f>
        <v>648</v>
      </c>
      <c r="B1939" s="25" t="s">
        <v>2629</v>
      </c>
      <c r="C1939" s="57" t="s">
        <v>2792</v>
      </c>
      <c r="E1939" s="8">
        <v>12307000</v>
      </c>
      <c r="F1939" s="8">
        <v>12307000</v>
      </c>
      <c r="G1939" s="125">
        <f t="shared" si="50"/>
        <v>0</v>
      </c>
      <c r="H1939" s="247"/>
    </row>
    <row r="1940" spans="1:8" ht="16.5">
      <c r="A1940" s="3">
        <f>IF(F1940="","",COUNTA($F$1249:F1940))</f>
        <v>649</v>
      </c>
      <c r="B1940" s="25" t="s">
        <v>2630</v>
      </c>
      <c r="C1940" s="57" t="s">
        <v>2792</v>
      </c>
      <c r="E1940" s="8">
        <v>6962690</v>
      </c>
      <c r="F1940" s="8">
        <v>6962690</v>
      </c>
      <c r="G1940" s="125">
        <f t="shared" si="50"/>
        <v>0</v>
      </c>
      <c r="H1940" s="247"/>
    </row>
    <row r="1941" spans="1:8" ht="16.5">
      <c r="A1941" s="3">
        <f>IF(F1941="","",COUNTA($F$1249:F1941))</f>
        <v>650</v>
      </c>
      <c r="B1941" s="25" t="s">
        <v>2631</v>
      </c>
      <c r="C1941" s="57" t="s">
        <v>2792</v>
      </c>
      <c r="E1941" s="8">
        <v>8585080</v>
      </c>
      <c r="F1941" s="8">
        <v>8585080</v>
      </c>
      <c r="G1941" s="125">
        <f t="shared" si="50"/>
        <v>0</v>
      </c>
      <c r="H1941" s="247"/>
    </row>
    <row r="1942" spans="1:8" ht="16.5">
      <c r="A1942" s="3">
        <f>IF(F1942="","",COUNTA($F$1249:F1942))</f>
        <v>651</v>
      </c>
      <c r="B1942" s="25" t="s">
        <v>2632</v>
      </c>
      <c r="C1942" s="57" t="s">
        <v>2792</v>
      </c>
      <c r="E1942" s="8">
        <v>10532850</v>
      </c>
      <c r="F1942" s="8">
        <v>10532850</v>
      </c>
      <c r="G1942" s="125">
        <f t="shared" si="50"/>
        <v>0</v>
      </c>
      <c r="H1942" s="247"/>
    </row>
    <row r="1943" spans="1:8" ht="16.5">
      <c r="A1943" s="3">
        <f>IF(F1943="","",COUNTA($F$1249:F1943))</f>
      </c>
      <c r="B1943" s="38" t="s">
        <v>2633</v>
      </c>
      <c r="C1943" s="57"/>
      <c r="E1943" s="8"/>
      <c r="F1943" s="8"/>
      <c r="G1943" s="125" t="e">
        <f t="shared" si="50"/>
        <v>#DIV/0!</v>
      </c>
      <c r="H1943" s="247"/>
    </row>
    <row r="1944" spans="1:8" ht="16.5">
      <c r="A1944" s="3">
        <f>IF(F1944="","",COUNTA($F$1249:F1944))</f>
        <v>652</v>
      </c>
      <c r="B1944" s="25" t="s">
        <v>2634</v>
      </c>
      <c r="C1944" s="57" t="s">
        <v>2792</v>
      </c>
      <c r="E1944" s="8">
        <v>6200</v>
      </c>
      <c r="F1944" s="8">
        <v>6200</v>
      </c>
      <c r="G1944" s="125">
        <f t="shared" si="50"/>
        <v>0</v>
      </c>
      <c r="H1944" s="247"/>
    </row>
    <row r="1945" spans="1:8" ht="16.5">
      <c r="A1945" s="3">
        <f>IF(F1945="","",COUNTA($F$1249:F1945))</f>
        <v>653</v>
      </c>
      <c r="B1945" s="25" t="s">
        <v>2635</v>
      </c>
      <c r="C1945" s="57" t="s">
        <v>2792</v>
      </c>
      <c r="E1945" s="8">
        <v>8800</v>
      </c>
      <c r="F1945" s="8">
        <v>8800</v>
      </c>
      <c r="G1945" s="125">
        <f t="shared" si="50"/>
        <v>0</v>
      </c>
      <c r="H1945" s="247"/>
    </row>
    <row r="1946" spans="1:8" ht="16.5">
      <c r="A1946" s="3">
        <f>IF(F1946="","",COUNTA($F$1249:F1946))</f>
        <v>654</v>
      </c>
      <c r="B1946" s="25" t="s">
        <v>2636</v>
      </c>
      <c r="C1946" s="57" t="s">
        <v>2792</v>
      </c>
      <c r="E1946" s="8">
        <v>12200</v>
      </c>
      <c r="F1946" s="8">
        <v>12200</v>
      </c>
      <c r="G1946" s="125">
        <f t="shared" si="50"/>
        <v>0</v>
      </c>
      <c r="H1946" s="247"/>
    </row>
    <row r="1947" spans="1:8" ht="16.5">
      <c r="A1947" s="3">
        <f>IF(F1947="","",COUNTA($F$1249:F1947))</f>
        <v>655</v>
      </c>
      <c r="B1947" s="25" t="s">
        <v>2637</v>
      </c>
      <c r="C1947" s="57" t="s">
        <v>2792</v>
      </c>
      <c r="E1947" s="8">
        <v>16300</v>
      </c>
      <c r="F1947" s="8">
        <v>16300</v>
      </c>
      <c r="G1947" s="125">
        <f t="shared" si="50"/>
        <v>0</v>
      </c>
      <c r="H1947" s="247"/>
    </row>
    <row r="1948" spans="1:8" ht="16.5">
      <c r="A1948" s="3">
        <f>IF(F1948="","",COUNTA($F$1249:F1948))</f>
        <v>656</v>
      </c>
      <c r="B1948" s="25" t="s">
        <v>2638</v>
      </c>
      <c r="C1948" s="57" t="s">
        <v>2792</v>
      </c>
      <c r="E1948" s="8">
        <v>21300</v>
      </c>
      <c r="F1948" s="8">
        <v>21300</v>
      </c>
      <c r="G1948" s="125">
        <f t="shared" si="50"/>
        <v>0</v>
      </c>
      <c r="H1948" s="247"/>
    </row>
    <row r="1949" spans="1:8" ht="16.5">
      <c r="A1949" s="3">
        <f>IF(F1949="","",COUNTA($F$1249:F1949))</f>
        <v>657</v>
      </c>
      <c r="B1949" s="25" t="s">
        <v>2639</v>
      </c>
      <c r="C1949" s="57" t="s">
        <v>2792</v>
      </c>
      <c r="E1949" s="8">
        <v>22500</v>
      </c>
      <c r="F1949" s="8">
        <v>22500</v>
      </c>
      <c r="G1949" s="125">
        <f t="shared" si="50"/>
        <v>0</v>
      </c>
      <c r="H1949" s="247"/>
    </row>
    <row r="1950" spans="1:8" ht="16.5">
      <c r="A1950" s="3">
        <f>IF(F1950="","",COUNTA($F$1249:F1950))</f>
        <v>658</v>
      </c>
      <c r="B1950" s="25" t="s">
        <v>2640</v>
      </c>
      <c r="C1950" s="57" t="s">
        <v>2792</v>
      </c>
      <c r="E1950" s="8">
        <v>48700</v>
      </c>
      <c r="F1950" s="8">
        <v>48700</v>
      </c>
      <c r="G1950" s="125">
        <f t="shared" si="50"/>
        <v>0</v>
      </c>
      <c r="H1950" s="247"/>
    </row>
    <row r="1951" spans="1:8" ht="16.5">
      <c r="A1951" s="3">
        <f>IF(F1951="","",COUNTA($F$1249:F1951))</f>
        <v>659</v>
      </c>
      <c r="B1951" s="25" t="s">
        <v>2641</v>
      </c>
      <c r="C1951" s="57" t="s">
        <v>2792</v>
      </c>
      <c r="E1951" s="8">
        <v>80600</v>
      </c>
      <c r="F1951" s="8">
        <v>80600</v>
      </c>
      <c r="G1951" s="125">
        <f t="shared" si="50"/>
        <v>0</v>
      </c>
      <c r="H1951" s="247"/>
    </row>
    <row r="1952" spans="1:8" ht="16.5">
      <c r="A1952" s="3">
        <f>IF(F1952="","",COUNTA($F$1249:F1952))</f>
        <v>660</v>
      </c>
      <c r="B1952" s="25" t="s">
        <v>2642</v>
      </c>
      <c r="C1952" s="57" t="s">
        <v>2792</v>
      </c>
      <c r="E1952" s="8">
        <v>103200</v>
      </c>
      <c r="F1952" s="8">
        <v>103200</v>
      </c>
      <c r="G1952" s="125">
        <f t="shared" si="50"/>
        <v>0</v>
      </c>
      <c r="H1952" s="247"/>
    </row>
    <row r="1953" spans="1:8" ht="16.5">
      <c r="A1953" s="3">
        <f>IF(F1953="","",COUNTA($F$1249:F1953))</f>
        <v>661</v>
      </c>
      <c r="B1953" s="25" t="s">
        <v>2643</v>
      </c>
      <c r="C1953" s="57" t="s">
        <v>2792</v>
      </c>
      <c r="E1953" s="8">
        <v>135800</v>
      </c>
      <c r="F1953" s="8">
        <v>135800</v>
      </c>
      <c r="G1953" s="125">
        <f t="shared" si="50"/>
        <v>0</v>
      </c>
      <c r="H1953" s="247"/>
    </row>
    <row r="1954" spans="1:8" ht="16.5">
      <c r="A1954" s="3">
        <f>IF(F1954="","",COUNTA($F$1249:F1954))</f>
        <v>662</v>
      </c>
      <c r="B1954" s="25" t="s">
        <v>2644</v>
      </c>
      <c r="C1954" s="57" t="s">
        <v>2792</v>
      </c>
      <c r="E1954" s="8">
        <v>272200</v>
      </c>
      <c r="F1954" s="8">
        <v>272200</v>
      </c>
      <c r="G1954" s="125">
        <f t="shared" si="50"/>
        <v>0</v>
      </c>
      <c r="H1954" s="247"/>
    </row>
    <row r="1955" spans="1:8" ht="16.5">
      <c r="A1955" s="3">
        <f>IF(F1955="","",COUNTA($F$1249:F1955))</f>
      </c>
      <c r="B1955" s="38" t="s">
        <v>2633</v>
      </c>
      <c r="C1955" s="57"/>
      <c r="E1955" s="8"/>
      <c r="F1955" s="8"/>
      <c r="G1955" s="125" t="e">
        <f t="shared" si="50"/>
        <v>#DIV/0!</v>
      </c>
      <c r="H1955" s="247"/>
    </row>
    <row r="1956" spans="1:8" ht="16.5">
      <c r="A1956" s="3">
        <f>IF(F1956="","",COUNTA($F$1249:F1956))</f>
        <v>663</v>
      </c>
      <c r="B1956" s="25" t="s">
        <v>2645</v>
      </c>
      <c r="C1956" s="57" t="s">
        <v>2792</v>
      </c>
      <c r="E1956" s="8">
        <v>24700</v>
      </c>
      <c r="F1956" s="8">
        <v>24700</v>
      </c>
      <c r="G1956" s="125">
        <f t="shared" si="50"/>
        <v>0</v>
      </c>
      <c r="H1956" s="247"/>
    </row>
    <row r="1957" spans="1:8" ht="16.5">
      <c r="A1957" s="3">
        <f>IF(F1957="","",COUNTA($F$1249:F1957))</f>
        <v>664</v>
      </c>
      <c r="B1957" s="25" t="s">
        <v>2646</v>
      </c>
      <c r="C1957" s="57" t="s">
        <v>2792</v>
      </c>
      <c r="E1957" s="8">
        <v>34500</v>
      </c>
      <c r="F1957" s="8">
        <v>34500</v>
      </c>
      <c r="G1957" s="125">
        <f t="shared" si="50"/>
        <v>0</v>
      </c>
      <c r="H1957" s="247"/>
    </row>
    <row r="1958" spans="1:8" ht="16.5">
      <c r="A1958" s="3">
        <f>IF(F1958="","",COUNTA($F$1249:F1958))</f>
        <v>665</v>
      </c>
      <c r="B1958" s="25" t="s">
        <v>2647</v>
      </c>
      <c r="C1958" s="57" t="s">
        <v>2792</v>
      </c>
      <c r="E1958" s="8">
        <v>49900</v>
      </c>
      <c r="F1958" s="8">
        <v>49900</v>
      </c>
      <c r="G1958" s="125">
        <f t="shared" si="50"/>
        <v>0</v>
      </c>
      <c r="H1958" s="247"/>
    </row>
    <row r="1959" spans="1:8" ht="16.5">
      <c r="A1959" s="3">
        <f>IF(F1959="","",COUNTA($F$1249:F1959))</f>
        <v>666</v>
      </c>
      <c r="B1959" s="25" t="s">
        <v>2648</v>
      </c>
      <c r="C1959" s="57" t="s">
        <v>2792</v>
      </c>
      <c r="E1959" s="8">
        <v>72100</v>
      </c>
      <c r="F1959" s="8">
        <v>72100</v>
      </c>
      <c r="G1959" s="125">
        <f t="shared" si="50"/>
        <v>0</v>
      </c>
      <c r="H1959" s="247"/>
    </row>
    <row r="1960" spans="1:8" ht="16.5">
      <c r="A1960" s="3">
        <f>IF(F1960="","",COUNTA($F$1249:F1960))</f>
        <v>667</v>
      </c>
      <c r="B1960" s="25" t="s">
        <v>2649</v>
      </c>
      <c r="C1960" s="57" t="s">
        <v>2792</v>
      </c>
      <c r="E1960" s="8">
        <v>116300</v>
      </c>
      <c r="F1960" s="8">
        <v>116300</v>
      </c>
      <c r="G1960" s="125">
        <f t="shared" si="50"/>
        <v>0</v>
      </c>
      <c r="H1960" s="247"/>
    </row>
    <row r="1961" spans="1:8" ht="16.5">
      <c r="A1961" s="3">
        <f>IF(F1961="","",COUNTA($F$1249:F1961))</f>
        <v>668</v>
      </c>
      <c r="B1961" s="25" t="s">
        <v>2650</v>
      </c>
      <c r="C1961" s="57" t="s">
        <v>2792</v>
      </c>
      <c r="E1961" s="8">
        <v>240000</v>
      </c>
      <c r="F1961" s="8">
        <v>240000</v>
      </c>
      <c r="G1961" s="125">
        <f t="shared" si="50"/>
        <v>0</v>
      </c>
      <c r="H1961" s="247"/>
    </row>
    <row r="1962" spans="1:8" ht="16.5">
      <c r="A1962" s="3">
        <f>IF(F1962="","",COUNTA($F$1249:F1962))</f>
        <v>669</v>
      </c>
      <c r="B1962" s="25" t="s">
        <v>2651</v>
      </c>
      <c r="C1962" s="57" t="s">
        <v>2792</v>
      </c>
      <c r="E1962" s="8">
        <v>234200</v>
      </c>
      <c r="F1962" s="8">
        <v>234200</v>
      </c>
      <c r="G1962" s="125">
        <f t="shared" si="50"/>
        <v>0</v>
      </c>
      <c r="H1962" s="247"/>
    </row>
    <row r="1963" spans="1:8" ht="16.5">
      <c r="A1963" s="3">
        <f>IF(F1963="","",COUNTA($F$1249:F1963))</f>
      </c>
      <c r="B1963" s="38" t="s">
        <v>2633</v>
      </c>
      <c r="C1963" s="57"/>
      <c r="E1963" s="8"/>
      <c r="F1963" s="8"/>
      <c r="G1963" s="125" t="e">
        <f t="shared" si="50"/>
        <v>#DIV/0!</v>
      </c>
      <c r="H1963" s="247"/>
    </row>
    <row r="1964" spans="1:8" ht="16.5">
      <c r="A1964" s="3">
        <f>IF(F1964="","",COUNTA($F$1249:F1964))</f>
        <v>670</v>
      </c>
      <c r="B1964" s="25" t="s">
        <v>2652</v>
      </c>
      <c r="C1964" s="57" t="s">
        <v>2792</v>
      </c>
      <c r="E1964" s="8">
        <v>150400</v>
      </c>
      <c r="F1964" s="8">
        <v>150400</v>
      </c>
      <c r="G1964" s="125">
        <f t="shared" si="50"/>
        <v>0</v>
      </c>
      <c r="H1964" s="247"/>
    </row>
    <row r="1965" spans="1:8" ht="16.5">
      <c r="A1965" s="3">
        <f>IF(F1965="","",COUNTA($F$1249:F1965))</f>
        <v>671</v>
      </c>
      <c r="B1965" s="25" t="s">
        <v>2653</v>
      </c>
      <c r="C1965" s="57" t="s">
        <v>2792</v>
      </c>
      <c r="E1965" s="8">
        <v>317700</v>
      </c>
      <c r="F1965" s="8">
        <v>317700</v>
      </c>
      <c r="G1965" s="125">
        <f t="shared" si="50"/>
        <v>0</v>
      </c>
      <c r="H1965" s="247"/>
    </row>
    <row r="1966" spans="1:8" ht="16.5">
      <c r="A1966" s="3">
        <f>IF(F1966="","",COUNTA($F$1249:F1966))</f>
        <v>672</v>
      </c>
      <c r="B1966" s="25" t="s">
        <v>2654</v>
      </c>
      <c r="C1966" s="57" t="s">
        <v>2792</v>
      </c>
      <c r="E1966" s="8">
        <v>405900</v>
      </c>
      <c r="F1966" s="8">
        <v>405900</v>
      </c>
      <c r="G1966" s="125">
        <f t="shared" si="50"/>
        <v>0</v>
      </c>
      <c r="H1966" s="247"/>
    </row>
    <row r="1967" spans="1:8" ht="16.5">
      <c r="A1967" s="3">
        <f>IF(F1967="","",COUNTA($F$1249:F1967))</f>
        <v>673</v>
      </c>
      <c r="B1967" s="25" t="s">
        <v>2655</v>
      </c>
      <c r="C1967" s="57" t="s">
        <v>2792</v>
      </c>
      <c r="E1967" s="8">
        <v>594200</v>
      </c>
      <c r="F1967" s="8">
        <v>594200</v>
      </c>
      <c r="G1967" s="125">
        <f t="shared" si="50"/>
        <v>0</v>
      </c>
      <c r="H1967" s="247"/>
    </row>
    <row r="1968" spans="1:8" ht="16.5">
      <c r="A1968" s="3">
        <f>IF(F1968="","",COUNTA($F$1249:F1968))</f>
      </c>
      <c r="B1968" s="38" t="s">
        <v>1421</v>
      </c>
      <c r="C1968" s="57"/>
      <c r="E1968" s="8"/>
      <c r="F1968" s="8"/>
      <c r="G1968" s="125" t="e">
        <f t="shared" si="50"/>
        <v>#DIV/0!</v>
      </c>
      <c r="H1968" s="247" t="s">
        <v>1445</v>
      </c>
    </row>
    <row r="1969" spans="1:8" ht="16.5">
      <c r="A1969" s="3">
        <f>IF(F1969="","",COUNTA($F$1249:F1969))</f>
        <v>674</v>
      </c>
      <c r="B1969" s="25" t="s">
        <v>1422</v>
      </c>
      <c r="C1969" s="57" t="s">
        <v>2792</v>
      </c>
      <c r="E1969" s="8">
        <v>10310</v>
      </c>
      <c r="F1969" s="8">
        <v>10310</v>
      </c>
      <c r="G1969" s="125">
        <f t="shared" si="50"/>
        <v>0</v>
      </c>
      <c r="H1969" s="247"/>
    </row>
    <row r="1970" spans="1:8" ht="16.5">
      <c r="A1970" s="3">
        <f>IF(F1970="","",COUNTA($F$1249:F1970))</f>
        <v>675</v>
      </c>
      <c r="B1970" s="25" t="s">
        <v>1423</v>
      </c>
      <c r="C1970" s="57" t="s">
        <v>2792</v>
      </c>
      <c r="E1970" s="8">
        <v>17480</v>
      </c>
      <c r="F1970" s="8">
        <v>17480</v>
      </c>
      <c r="G1970" s="125">
        <f t="shared" si="50"/>
        <v>0</v>
      </c>
      <c r="H1970" s="247"/>
    </row>
    <row r="1971" spans="1:8" ht="16.5">
      <c r="A1971" s="3">
        <f>IF(F1971="","",COUNTA($F$1249:F1971))</f>
        <v>676</v>
      </c>
      <c r="B1971" s="25" t="s">
        <v>1424</v>
      </c>
      <c r="C1971" s="57" t="s">
        <v>2792</v>
      </c>
      <c r="E1971" s="8">
        <v>23920</v>
      </c>
      <c r="F1971" s="8">
        <v>23920</v>
      </c>
      <c r="G1971" s="125">
        <f t="shared" si="50"/>
        <v>0</v>
      </c>
      <c r="H1971" s="247"/>
    </row>
    <row r="1972" spans="1:8" ht="16.5">
      <c r="A1972" s="3">
        <f>IF(F1972="","",COUNTA($F$1249:F1972))</f>
        <v>677</v>
      </c>
      <c r="B1972" s="25" t="s">
        <v>1425</v>
      </c>
      <c r="C1972" s="57" t="s">
        <v>2792</v>
      </c>
      <c r="E1972" s="8">
        <v>29630</v>
      </c>
      <c r="F1972" s="8">
        <v>29630</v>
      </c>
      <c r="G1972" s="125">
        <f t="shared" si="50"/>
        <v>0</v>
      </c>
      <c r="H1972" s="247"/>
    </row>
    <row r="1973" spans="1:8" ht="16.5">
      <c r="A1973" s="3">
        <f>IF(F1973="","",COUNTA($F$1249:F1973))</f>
        <v>678</v>
      </c>
      <c r="B1973" s="25" t="s">
        <v>1426</v>
      </c>
      <c r="C1973" s="57" t="s">
        <v>2792</v>
      </c>
      <c r="E1973" s="8">
        <v>48390</v>
      </c>
      <c r="F1973" s="8">
        <v>48390</v>
      </c>
      <c r="G1973" s="125">
        <f t="shared" si="50"/>
        <v>0</v>
      </c>
      <c r="H1973" s="247"/>
    </row>
    <row r="1974" spans="1:8" ht="16.5">
      <c r="A1974" s="3">
        <f>IF(F1974="","",COUNTA($F$1249:F1974))</f>
        <v>679</v>
      </c>
      <c r="B1974" s="25" t="s">
        <v>1427</v>
      </c>
      <c r="C1974" s="57" t="s">
        <v>2792</v>
      </c>
      <c r="E1974" s="8">
        <v>75440</v>
      </c>
      <c r="F1974" s="8">
        <v>75440</v>
      </c>
      <c r="G1974" s="125">
        <f t="shared" si="50"/>
        <v>0</v>
      </c>
      <c r="H1974" s="247"/>
    </row>
    <row r="1975" spans="1:8" ht="16.5">
      <c r="A1975" s="3">
        <f>IF(F1975="","",COUNTA($F$1249:F1975))</f>
        <v>680</v>
      </c>
      <c r="B1975" s="25" t="s">
        <v>1428</v>
      </c>
      <c r="C1975" s="57" t="s">
        <v>2792</v>
      </c>
      <c r="E1975" s="8">
        <v>107640</v>
      </c>
      <c r="F1975" s="8">
        <v>107640</v>
      </c>
      <c r="G1975" s="125">
        <f t="shared" si="50"/>
        <v>0</v>
      </c>
      <c r="H1975" s="247"/>
    </row>
    <row r="1976" spans="1:8" ht="16.5">
      <c r="A1976" s="3">
        <f>IF(F1976="","",COUNTA($F$1249:F1976))</f>
        <v>681</v>
      </c>
      <c r="B1976" s="25" t="s">
        <v>1429</v>
      </c>
      <c r="C1976" s="57" t="s">
        <v>2792</v>
      </c>
      <c r="E1976" s="8">
        <v>15830</v>
      </c>
      <c r="F1976" s="8">
        <v>15830</v>
      </c>
      <c r="G1976" s="125">
        <f t="shared" si="50"/>
        <v>0</v>
      </c>
      <c r="H1976" s="247"/>
    </row>
    <row r="1977" spans="1:8" ht="16.5">
      <c r="A1977" s="3">
        <f>IF(F1977="","",COUNTA($F$1249:F1977))</f>
        <v>682</v>
      </c>
      <c r="B1977" s="25" t="s">
        <v>1430</v>
      </c>
      <c r="C1977" s="57" t="s">
        <v>2792</v>
      </c>
      <c r="E1977" s="8">
        <v>21620</v>
      </c>
      <c r="F1977" s="8">
        <v>21620</v>
      </c>
      <c r="G1977" s="125">
        <f t="shared" si="50"/>
        <v>0</v>
      </c>
      <c r="H1977" s="247"/>
    </row>
    <row r="1978" spans="1:8" ht="16.5">
      <c r="A1978" s="3">
        <f>IF(F1978="","",COUNTA($F$1249:F1978))</f>
        <v>683</v>
      </c>
      <c r="B1978" s="25" t="s">
        <v>1431</v>
      </c>
      <c r="C1978" s="57" t="s">
        <v>2792</v>
      </c>
      <c r="E1978" s="8">
        <v>32760</v>
      </c>
      <c r="F1978" s="8">
        <v>32760</v>
      </c>
      <c r="G1978" s="125">
        <f t="shared" si="50"/>
        <v>0</v>
      </c>
      <c r="H1978" s="247"/>
    </row>
    <row r="1979" spans="1:8" ht="16.5">
      <c r="A1979" s="3">
        <f>IF(F1979="","",COUNTA($F$1249:F1979))</f>
        <v>684</v>
      </c>
      <c r="B1979" s="25" t="s">
        <v>1432</v>
      </c>
      <c r="C1979" s="57" t="s">
        <v>2792</v>
      </c>
      <c r="E1979" s="8">
        <v>50230</v>
      </c>
      <c r="F1979" s="8">
        <v>50230</v>
      </c>
      <c r="G1979" s="125">
        <f t="shared" si="50"/>
        <v>0</v>
      </c>
      <c r="H1979" s="247"/>
    </row>
    <row r="1980" spans="1:8" ht="16.5">
      <c r="A1980" s="3">
        <f>IF(F1980="","",COUNTA($F$1249:F1980))</f>
        <v>685</v>
      </c>
      <c r="B1980" s="25" t="s">
        <v>1433</v>
      </c>
      <c r="C1980" s="57" t="s">
        <v>2792</v>
      </c>
      <c r="E1980" s="8">
        <v>75440</v>
      </c>
      <c r="F1980" s="8">
        <v>75440</v>
      </c>
      <c r="G1980" s="125">
        <f t="shared" si="50"/>
        <v>0</v>
      </c>
      <c r="H1980" s="247"/>
    </row>
    <row r="1981" spans="1:8" ht="16.5">
      <c r="A1981" s="3">
        <f>IF(F1981="","",COUNTA($F$1249:F1981))</f>
      </c>
      <c r="B1981" s="38" t="s">
        <v>1434</v>
      </c>
      <c r="C1981" s="57"/>
      <c r="E1981" s="8"/>
      <c r="F1981" s="8"/>
      <c r="G1981" s="125" t="e">
        <f t="shared" si="50"/>
        <v>#DIV/0!</v>
      </c>
      <c r="H1981" s="247"/>
    </row>
    <row r="1982" spans="1:8" ht="16.5">
      <c r="A1982" s="3">
        <f>IF(F1982="","",COUNTA($F$1249:F1982))</f>
        <v>686</v>
      </c>
      <c r="B1982" s="25" t="s">
        <v>1435</v>
      </c>
      <c r="C1982" s="57" t="s">
        <v>2792</v>
      </c>
      <c r="E1982" s="8">
        <v>17760</v>
      </c>
      <c r="F1982" s="8">
        <v>17760</v>
      </c>
      <c r="G1982" s="125">
        <f t="shared" si="50"/>
        <v>0</v>
      </c>
      <c r="H1982" s="247"/>
    </row>
    <row r="1983" spans="1:8" ht="16.5">
      <c r="A1983" s="3">
        <f>IF(F1983="","",COUNTA($F$1249:F1983))</f>
        <v>687</v>
      </c>
      <c r="B1983" s="25" t="s">
        <v>1436</v>
      </c>
      <c r="C1983" s="57" t="s">
        <v>2792</v>
      </c>
      <c r="E1983" s="8">
        <v>22820</v>
      </c>
      <c r="F1983" s="8">
        <v>22820</v>
      </c>
      <c r="G1983" s="125">
        <f t="shared" si="50"/>
        <v>0</v>
      </c>
      <c r="H1983" s="247"/>
    </row>
    <row r="1984" spans="1:8" ht="16.5">
      <c r="A1984" s="3">
        <f>IF(F1984="","",COUNTA($F$1249:F1984))</f>
        <v>688</v>
      </c>
      <c r="B1984" s="25" t="s">
        <v>1437</v>
      </c>
      <c r="C1984" s="57" t="s">
        <v>2792</v>
      </c>
      <c r="E1984" s="8">
        <v>27510</v>
      </c>
      <c r="F1984" s="8">
        <v>27510</v>
      </c>
      <c r="G1984" s="125">
        <f t="shared" si="50"/>
        <v>0</v>
      </c>
      <c r="H1984" s="247"/>
    </row>
    <row r="1985" spans="1:8" ht="16.5">
      <c r="A1985" s="3">
        <f>IF(F1985="","",COUNTA($F$1249:F1985))</f>
        <v>689</v>
      </c>
      <c r="B1985" s="25" t="s">
        <v>1438</v>
      </c>
      <c r="C1985" s="57" t="s">
        <v>2792</v>
      </c>
      <c r="E1985" s="8">
        <v>39380</v>
      </c>
      <c r="F1985" s="8">
        <v>39380</v>
      </c>
      <c r="G1985" s="125">
        <f t="shared" si="50"/>
        <v>0</v>
      </c>
      <c r="H1985" s="247"/>
    </row>
    <row r="1986" spans="1:8" ht="16.5">
      <c r="A1986" s="3">
        <f>IF(F1986="","",COUNTA($F$1249:F1986))</f>
        <v>690</v>
      </c>
      <c r="B1986" s="25" t="s">
        <v>1439</v>
      </c>
      <c r="C1986" s="57" t="s">
        <v>2792</v>
      </c>
      <c r="E1986" s="8">
        <v>55940</v>
      </c>
      <c r="F1986" s="8">
        <v>55940</v>
      </c>
      <c r="G1986" s="125">
        <f aca="true" t="shared" si="51" ref="G1986:G2039">(E1986-F1986)/E1986</f>
        <v>0</v>
      </c>
      <c r="H1986" s="247"/>
    </row>
    <row r="1987" spans="1:8" ht="16.5">
      <c r="A1987" s="3">
        <f>IF(F1987="","",COUNTA($F$1249:F1987))</f>
        <v>691</v>
      </c>
      <c r="B1987" s="25" t="s">
        <v>1440</v>
      </c>
      <c r="C1987" s="57" t="s">
        <v>2792</v>
      </c>
      <c r="E1987" s="8">
        <v>61280</v>
      </c>
      <c r="F1987" s="8">
        <v>61280</v>
      </c>
      <c r="G1987" s="125">
        <f t="shared" si="51"/>
        <v>0</v>
      </c>
      <c r="H1987" s="247"/>
    </row>
    <row r="1988" spans="1:8" ht="16.5">
      <c r="A1988" s="3">
        <f>IF(F1988="","",COUNTA($F$1249:F1988))</f>
        <v>692</v>
      </c>
      <c r="B1988" s="25" t="s">
        <v>1441</v>
      </c>
      <c r="C1988" s="57" t="s">
        <v>2792</v>
      </c>
      <c r="E1988" s="8">
        <v>90000</v>
      </c>
      <c r="F1988" s="8">
        <v>90000</v>
      </c>
      <c r="G1988" s="125">
        <f t="shared" si="51"/>
        <v>0</v>
      </c>
      <c r="H1988" s="247"/>
    </row>
    <row r="1989" spans="1:8" ht="16.5">
      <c r="A1989" s="3">
        <f>IF(F1989="","",COUNTA($F$1249:F1989))</f>
        <v>693</v>
      </c>
      <c r="B1989" s="25" t="s">
        <v>1442</v>
      </c>
      <c r="C1989" s="57" t="s">
        <v>2792</v>
      </c>
      <c r="E1989" s="8">
        <v>144200</v>
      </c>
      <c r="F1989" s="8">
        <v>144200</v>
      </c>
      <c r="G1989" s="125">
        <f t="shared" si="51"/>
        <v>0</v>
      </c>
      <c r="H1989" s="247"/>
    </row>
    <row r="1990" spans="1:8" ht="16.5">
      <c r="A1990" s="3">
        <f>IF(F1990="","",COUNTA($F$1249:F1990))</f>
        <v>694</v>
      </c>
      <c r="B1990" s="25" t="s">
        <v>1443</v>
      </c>
      <c r="C1990" s="57" t="s">
        <v>2792</v>
      </c>
      <c r="E1990" s="8">
        <v>293300</v>
      </c>
      <c r="F1990" s="8">
        <v>293300</v>
      </c>
      <c r="G1990" s="125">
        <f t="shared" si="51"/>
        <v>0</v>
      </c>
      <c r="H1990" s="247"/>
    </row>
    <row r="1991" spans="1:8" ht="16.5">
      <c r="A1991" s="3">
        <f>IF(F1991="","",COUNTA($F$1249:F1991))</f>
        <v>695</v>
      </c>
      <c r="B1991" s="25" t="s">
        <v>1444</v>
      </c>
      <c r="C1991" s="57" t="s">
        <v>2792</v>
      </c>
      <c r="E1991" s="8">
        <v>722000</v>
      </c>
      <c r="F1991" s="8">
        <v>722000</v>
      </c>
      <c r="G1991" s="125">
        <f t="shared" si="51"/>
        <v>0</v>
      </c>
      <c r="H1991" s="247"/>
    </row>
    <row r="1992" spans="1:8" ht="17.25">
      <c r="A1992" s="3">
        <f>IF(F1992="","",COUNTA($F$1249:F1992))</f>
      </c>
      <c r="B1992" s="31" t="s">
        <v>972</v>
      </c>
      <c r="C1992" s="57"/>
      <c r="E1992" s="8"/>
      <c r="F1992" s="8"/>
      <c r="G1992" s="125" t="e">
        <f t="shared" si="51"/>
        <v>#DIV/0!</v>
      </c>
      <c r="H1992" s="247" t="s">
        <v>2</v>
      </c>
    </row>
    <row r="1993" spans="1:8" ht="16.5">
      <c r="A1993" s="3">
        <f>IF(F1993="","",COUNTA($F$1249:F1993))</f>
        <v>696</v>
      </c>
      <c r="B1993" s="25" t="s">
        <v>2663</v>
      </c>
      <c r="C1993" s="57" t="s">
        <v>2664</v>
      </c>
      <c r="E1993" s="8">
        <v>79000</v>
      </c>
      <c r="F1993" s="8">
        <v>79000</v>
      </c>
      <c r="G1993" s="125">
        <f t="shared" si="51"/>
        <v>0</v>
      </c>
      <c r="H1993" s="247"/>
    </row>
    <row r="1994" spans="1:8" ht="16.5">
      <c r="A1994" s="3">
        <f>IF(F1994="","",COUNTA($F$1249:F1994))</f>
        <v>697</v>
      </c>
      <c r="B1994" s="25" t="s">
        <v>2665</v>
      </c>
      <c r="C1994" s="57" t="s">
        <v>2664</v>
      </c>
      <c r="E1994" s="8">
        <v>40300</v>
      </c>
      <c r="F1994" s="8">
        <v>40300</v>
      </c>
      <c r="G1994" s="125">
        <f t="shared" si="51"/>
        <v>0</v>
      </c>
      <c r="H1994" s="247"/>
    </row>
    <row r="1995" spans="1:8" ht="16.5">
      <c r="A1995" s="3">
        <f>IF(F1995="","",COUNTA($F$1249:F1995))</f>
        <v>698</v>
      </c>
      <c r="B1995" s="25" t="s">
        <v>2666</v>
      </c>
      <c r="C1995" s="57" t="s">
        <v>2664</v>
      </c>
      <c r="E1995" s="8">
        <v>63100</v>
      </c>
      <c r="F1995" s="8">
        <v>63100</v>
      </c>
      <c r="G1995" s="125">
        <f t="shared" si="51"/>
        <v>0</v>
      </c>
      <c r="H1995" s="247"/>
    </row>
    <row r="1996" spans="1:8" ht="16.5">
      <c r="A1996" s="3">
        <f>IF(F1996="","",COUNTA($F$1249:F1996))</f>
        <v>699</v>
      </c>
      <c r="B1996" s="25" t="s">
        <v>2667</v>
      </c>
      <c r="C1996" s="57" t="s">
        <v>2664</v>
      </c>
      <c r="E1996" s="8">
        <v>90800</v>
      </c>
      <c r="F1996" s="8">
        <v>90800</v>
      </c>
      <c r="G1996" s="125">
        <f t="shared" si="51"/>
        <v>0</v>
      </c>
      <c r="H1996" s="247"/>
    </row>
    <row r="1997" spans="1:8" ht="16.5">
      <c r="A1997" s="3">
        <f>IF(F1997="","",COUNTA($F$1249:F1997))</f>
        <v>700</v>
      </c>
      <c r="B1997" s="25" t="s">
        <v>2668</v>
      </c>
      <c r="C1997" s="57" t="s">
        <v>2664</v>
      </c>
      <c r="E1997" s="8">
        <v>173100</v>
      </c>
      <c r="F1997" s="8">
        <v>173100</v>
      </c>
      <c r="G1997" s="125">
        <f t="shared" si="51"/>
        <v>0</v>
      </c>
      <c r="H1997" s="247"/>
    </row>
    <row r="1998" spans="1:8" ht="16.5">
      <c r="A1998" s="3">
        <f>IF(F1998="","",COUNTA($F$1249:F1998))</f>
        <v>701</v>
      </c>
      <c r="B1998" s="25" t="s">
        <v>2669</v>
      </c>
      <c r="C1998" s="57" t="s">
        <v>2664</v>
      </c>
      <c r="E1998" s="8">
        <v>220600</v>
      </c>
      <c r="F1998" s="8">
        <v>220600</v>
      </c>
      <c r="G1998" s="125">
        <f t="shared" si="51"/>
        <v>0</v>
      </c>
      <c r="H1998" s="247"/>
    </row>
    <row r="1999" spans="1:8" ht="16.5">
      <c r="A1999" s="3">
        <f>IF(F1999="","",COUNTA($F$1249:F1999))</f>
        <v>702</v>
      </c>
      <c r="B1999" s="25" t="s">
        <v>2670</v>
      </c>
      <c r="C1999" s="57" t="s">
        <v>2664</v>
      </c>
      <c r="E1999" s="8">
        <v>278900</v>
      </c>
      <c r="F1999" s="8">
        <v>278900</v>
      </c>
      <c r="G1999" s="125">
        <f t="shared" si="51"/>
        <v>0</v>
      </c>
      <c r="H1999" s="247"/>
    </row>
    <row r="2000" spans="1:8" ht="16.5">
      <c r="A2000" s="3">
        <f>IF(F2000="","",COUNTA($F$1249:F2000))</f>
        <v>703</v>
      </c>
      <c r="B2000" s="25" t="s">
        <v>2671</v>
      </c>
      <c r="C2000" s="57" t="s">
        <v>2664</v>
      </c>
      <c r="E2000" s="8">
        <v>475500</v>
      </c>
      <c r="F2000" s="8">
        <v>475500</v>
      </c>
      <c r="G2000" s="125">
        <f t="shared" si="51"/>
        <v>0</v>
      </c>
      <c r="H2000" s="247"/>
    </row>
    <row r="2001" spans="1:8" ht="16.5">
      <c r="A2001" s="3">
        <f>IF(F2001="","",COUNTA($F$1249:F2001))</f>
        <v>704</v>
      </c>
      <c r="B2001" s="25" t="s">
        <v>2672</v>
      </c>
      <c r="C2001" s="57" t="s">
        <v>2664</v>
      </c>
      <c r="E2001" s="8">
        <v>164600</v>
      </c>
      <c r="F2001" s="8">
        <v>164600</v>
      </c>
      <c r="G2001" s="125">
        <f t="shared" si="51"/>
        <v>0</v>
      </c>
      <c r="H2001" s="247"/>
    </row>
    <row r="2002" spans="1:8" ht="16.5">
      <c r="A2002" s="3">
        <f>IF(F2002="","",COUNTA($F$1249:F2002))</f>
        <v>705</v>
      </c>
      <c r="B2002" s="25" t="s">
        <v>2673</v>
      </c>
      <c r="C2002" s="57" t="s">
        <v>2664</v>
      </c>
      <c r="E2002" s="8">
        <v>35400</v>
      </c>
      <c r="F2002" s="8">
        <v>35400</v>
      </c>
      <c r="G2002" s="125">
        <f t="shared" si="51"/>
        <v>0</v>
      </c>
      <c r="H2002" s="247"/>
    </row>
    <row r="2003" spans="1:8" ht="33">
      <c r="A2003" s="3">
        <f>IF(F2003="","",COUNTA($F$1249:F2003))</f>
        <v>706</v>
      </c>
      <c r="B2003" s="25" t="s">
        <v>2674</v>
      </c>
      <c r="C2003" s="57" t="s">
        <v>2664</v>
      </c>
      <c r="E2003" s="8">
        <v>514400</v>
      </c>
      <c r="F2003" s="8">
        <v>514400</v>
      </c>
      <c r="G2003" s="125">
        <f t="shared" si="51"/>
        <v>0</v>
      </c>
      <c r="H2003" s="247"/>
    </row>
    <row r="2004" spans="1:8" ht="16.5">
      <c r="A2004" s="3">
        <f>IF(F2004="","",COUNTA($F$1249:F2004))</f>
        <v>707</v>
      </c>
      <c r="B2004" s="25" t="s">
        <v>2675</v>
      </c>
      <c r="C2004" s="57" t="s">
        <v>2664</v>
      </c>
      <c r="E2004" s="8">
        <v>115000</v>
      </c>
      <c r="F2004" s="8">
        <v>115000</v>
      </c>
      <c r="G2004" s="125">
        <f t="shared" si="51"/>
        <v>0</v>
      </c>
      <c r="H2004" s="247"/>
    </row>
    <row r="2005" spans="1:8" ht="16.5">
      <c r="A2005" s="3">
        <f>IF(F2005="","",COUNTA($F$1249:F2005))</f>
        <v>708</v>
      </c>
      <c r="B2005" s="25" t="s">
        <v>2676</v>
      </c>
      <c r="C2005" s="57" t="s">
        <v>2664</v>
      </c>
      <c r="E2005" s="8">
        <v>94300</v>
      </c>
      <c r="F2005" s="8">
        <v>94300</v>
      </c>
      <c r="G2005" s="125">
        <f t="shared" si="51"/>
        <v>0</v>
      </c>
      <c r="H2005" s="247"/>
    </row>
    <row r="2006" spans="1:8" ht="16.5">
      <c r="A2006" s="3">
        <f>IF(F2006="","",COUNTA($F$1249:F2006))</f>
        <v>709</v>
      </c>
      <c r="B2006" s="25" t="s">
        <v>2677</v>
      </c>
      <c r="C2006" s="57" t="s">
        <v>2664</v>
      </c>
      <c r="E2006" s="8">
        <v>130900</v>
      </c>
      <c r="F2006" s="8">
        <v>130900</v>
      </c>
      <c r="G2006" s="125">
        <f t="shared" si="51"/>
        <v>0</v>
      </c>
      <c r="H2006" s="247"/>
    </row>
    <row r="2007" spans="1:8" ht="16.5">
      <c r="A2007" s="3">
        <f>IF(F2007="","",COUNTA($F$1249:F2007))</f>
        <v>710</v>
      </c>
      <c r="B2007" s="25" t="s">
        <v>2678</v>
      </c>
      <c r="C2007" s="57" t="s">
        <v>2664</v>
      </c>
      <c r="E2007" s="8">
        <v>212500</v>
      </c>
      <c r="F2007" s="8">
        <v>212500</v>
      </c>
      <c r="G2007" s="125">
        <f t="shared" si="51"/>
        <v>0</v>
      </c>
      <c r="H2007" s="247"/>
    </row>
    <row r="2008" spans="1:8" ht="16.5">
      <c r="A2008" s="3">
        <f>IF(F2008="","",COUNTA($F$1249:F2008))</f>
        <v>711</v>
      </c>
      <c r="B2008" s="25" t="s">
        <v>2679</v>
      </c>
      <c r="C2008" s="57" t="s">
        <v>2664</v>
      </c>
      <c r="E2008" s="8">
        <v>294300</v>
      </c>
      <c r="F2008" s="8">
        <v>294300</v>
      </c>
      <c r="G2008" s="125">
        <f t="shared" si="51"/>
        <v>0</v>
      </c>
      <c r="H2008" s="247"/>
    </row>
    <row r="2009" spans="1:8" ht="16.5">
      <c r="A2009" s="3">
        <f>IF(F2009="","",COUNTA($F$1249:F2009))</f>
        <v>712</v>
      </c>
      <c r="B2009" s="25" t="s">
        <v>2680</v>
      </c>
      <c r="C2009" s="57" t="s">
        <v>2664</v>
      </c>
      <c r="E2009" s="8">
        <v>444500</v>
      </c>
      <c r="F2009" s="8">
        <v>444500</v>
      </c>
      <c r="G2009" s="125">
        <f t="shared" si="51"/>
        <v>0</v>
      </c>
      <c r="H2009" s="247"/>
    </row>
    <row r="2010" spans="1:8" ht="16.5">
      <c r="A2010" s="3">
        <f>IF(F2010="","",COUNTA($F$1249:F2010))</f>
        <v>713</v>
      </c>
      <c r="B2010" s="25" t="s">
        <v>2681</v>
      </c>
      <c r="C2010" s="57" t="s">
        <v>2664</v>
      </c>
      <c r="E2010" s="8">
        <v>733100</v>
      </c>
      <c r="F2010" s="8">
        <v>733100</v>
      </c>
      <c r="G2010" s="125">
        <f t="shared" si="51"/>
        <v>0</v>
      </c>
      <c r="H2010" s="247"/>
    </row>
    <row r="2011" spans="1:8" ht="33">
      <c r="A2011" s="3">
        <f>IF(F2011="","",COUNTA($F$1249:F2011))</f>
        <v>714</v>
      </c>
      <c r="B2011" s="25" t="s">
        <v>2682</v>
      </c>
      <c r="C2011" s="57" t="s">
        <v>2664</v>
      </c>
      <c r="E2011" s="8">
        <v>104000</v>
      </c>
      <c r="F2011" s="8">
        <v>104000</v>
      </c>
      <c r="G2011" s="125">
        <f t="shared" si="51"/>
        <v>0</v>
      </c>
      <c r="H2011" s="247"/>
    </row>
    <row r="2012" spans="1:8" ht="33">
      <c r="A2012" s="3">
        <f>IF(F2012="","",COUNTA($F$1249:F2012))</f>
        <v>715</v>
      </c>
      <c r="B2012" s="25" t="s">
        <v>2683</v>
      </c>
      <c r="C2012" s="57" t="s">
        <v>2664</v>
      </c>
      <c r="E2012" s="8">
        <v>111800</v>
      </c>
      <c r="F2012" s="8">
        <v>111800</v>
      </c>
      <c r="G2012" s="125">
        <f t="shared" si="51"/>
        <v>0</v>
      </c>
      <c r="H2012" s="247"/>
    </row>
    <row r="2013" spans="1:8" ht="33">
      <c r="A2013" s="3">
        <f>IF(F2013="","",COUNTA($F$1249:F2013))</f>
        <v>716</v>
      </c>
      <c r="B2013" s="25" t="s">
        <v>2684</v>
      </c>
      <c r="C2013" s="57" t="s">
        <v>2664</v>
      </c>
      <c r="E2013" s="8">
        <v>159100</v>
      </c>
      <c r="F2013" s="8">
        <v>159100</v>
      </c>
      <c r="G2013" s="125">
        <f t="shared" si="51"/>
        <v>0</v>
      </c>
      <c r="H2013" s="247"/>
    </row>
    <row r="2014" spans="1:8" ht="33">
      <c r="A2014" s="3">
        <f>IF(F2014="","",COUNTA($F$1249:F2014))</f>
        <v>717</v>
      </c>
      <c r="B2014" s="25" t="s">
        <v>2685</v>
      </c>
      <c r="C2014" s="57" t="s">
        <v>2664</v>
      </c>
      <c r="E2014" s="8">
        <v>166600</v>
      </c>
      <c r="F2014" s="8">
        <v>166600</v>
      </c>
      <c r="G2014" s="125">
        <f t="shared" si="51"/>
        <v>0</v>
      </c>
      <c r="H2014" s="247"/>
    </row>
    <row r="2015" spans="1:8" ht="33">
      <c r="A2015" s="3">
        <f>IF(F2015="","",COUNTA($F$1249:F2015))</f>
        <v>718</v>
      </c>
      <c r="B2015" s="25" t="s">
        <v>963</v>
      </c>
      <c r="C2015" s="57" t="s">
        <v>2664</v>
      </c>
      <c r="E2015" s="8">
        <v>126000</v>
      </c>
      <c r="F2015" s="8">
        <v>126000</v>
      </c>
      <c r="G2015" s="125">
        <f t="shared" si="51"/>
        <v>0</v>
      </c>
      <c r="H2015" s="247"/>
    </row>
    <row r="2016" spans="1:8" ht="33">
      <c r="A2016" s="3">
        <f>IF(F2016="","",COUNTA($F$1249:F2016))</f>
        <v>719</v>
      </c>
      <c r="B2016" s="25" t="s">
        <v>964</v>
      </c>
      <c r="C2016" s="57" t="s">
        <v>2664</v>
      </c>
      <c r="E2016" s="8">
        <v>132900</v>
      </c>
      <c r="F2016" s="8">
        <v>132900</v>
      </c>
      <c r="G2016" s="125">
        <f t="shared" si="51"/>
        <v>0</v>
      </c>
      <c r="H2016" s="247"/>
    </row>
    <row r="2017" spans="1:8" ht="33">
      <c r="A2017" s="3">
        <f>IF(F2017="","",COUNTA($F$1249:F2017))</f>
        <v>720</v>
      </c>
      <c r="B2017" s="25" t="s">
        <v>965</v>
      </c>
      <c r="C2017" s="57" t="s">
        <v>2664</v>
      </c>
      <c r="E2017" s="8">
        <v>179800</v>
      </c>
      <c r="F2017" s="8">
        <v>179800</v>
      </c>
      <c r="G2017" s="125">
        <f t="shared" si="51"/>
        <v>0</v>
      </c>
      <c r="H2017" s="247"/>
    </row>
    <row r="2018" spans="1:8" ht="33">
      <c r="A2018" s="3">
        <f>IF(F2018="","",COUNTA($F$1249:F2018))</f>
        <v>721</v>
      </c>
      <c r="B2018" s="25" t="s">
        <v>966</v>
      </c>
      <c r="C2018" s="57" t="s">
        <v>2664</v>
      </c>
      <c r="E2018" s="8">
        <v>187300</v>
      </c>
      <c r="F2018" s="8">
        <v>187300</v>
      </c>
      <c r="G2018" s="125">
        <f t="shared" si="51"/>
        <v>0</v>
      </c>
      <c r="H2018" s="247"/>
    </row>
    <row r="2019" spans="1:8" ht="16.5">
      <c r="A2019" s="3">
        <f>IF(F2019="","",COUNTA($F$1249:F2019))</f>
        <v>722</v>
      </c>
      <c r="B2019" s="25" t="s">
        <v>967</v>
      </c>
      <c r="C2019" s="57" t="s">
        <v>2664</v>
      </c>
      <c r="E2019" s="8">
        <v>54800</v>
      </c>
      <c r="F2019" s="8">
        <v>54800</v>
      </c>
      <c r="G2019" s="125">
        <f t="shared" si="51"/>
        <v>0</v>
      </c>
      <c r="H2019" s="247"/>
    </row>
    <row r="2020" spans="1:8" ht="16.5">
      <c r="A2020" s="3">
        <f>IF(F2020="","",COUNTA($F$1249:F2020))</f>
        <v>723</v>
      </c>
      <c r="B2020" s="25" t="s">
        <v>968</v>
      </c>
      <c r="C2020" s="57" t="s">
        <v>2664</v>
      </c>
      <c r="E2020" s="8">
        <v>43100</v>
      </c>
      <c r="F2020" s="8">
        <v>43100</v>
      </c>
      <c r="G2020" s="125">
        <f t="shared" si="51"/>
        <v>0</v>
      </c>
      <c r="H2020" s="247"/>
    </row>
    <row r="2021" spans="1:8" ht="17.25" customHeight="1">
      <c r="A2021" s="3">
        <f>IF(F2021="","",COUNTA($F$1249:F2021))</f>
      </c>
      <c r="B2021" s="31" t="s">
        <v>969</v>
      </c>
      <c r="C2021" s="187"/>
      <c r="E2021" s="72"/>
      <c r="F2021" s="72"/>
      <c r="G2021" s="125"/>
      <c r="H2021" s="247" t="s">
        <v>7</v>
      </c>
    </row>
    <row r="2022" spans="1:8" ht="115.5">
      <c r="A2022" s="3">
        <f>IF(F2022="","",COUNTA($F$1249:F2022))</f>
        <v>724</v>
      </c>
      <c r="B2022" s="42" t="s">
        <v>3201</v>
      </c>
      <c r="C2022" s="57" t="s">
        <v>2664</v>
      </c>
      <c r="E2022" s="6">
        <v>515000</v>
      </c>
      <c r="F2022" s="6">
        <v>515000</v>
      </c>
      <c r="G2022" s="125">
        <f>(E2022-F2022)/E2022</f>
        <v>0</v>
      </c>
      <c r="H2022" s="247"/>
    </row>
    <row r="2023" spans="1:8" ht="148.5">
      <c r="A2023" s="3">
        <f>IF(F2023="","",COUNTA($F$1249:F2023))</f>
        <v>725</v>
      </c>
      <c r="B2023" s="42" t="s">
        <v>3202</v>
      </c>
      <c r="C2023" s="57" t="s">
        <v>2664</v>
      </c>
      <c r="E2023" s="6">
        <v>915000</v>
      </c>
      <c r="F2023" s="6">
        <v>915000</v>
      </c>
      <c r="G2023" s="125">
        <f>(E2023-F2023)/E2023</f>
        <v>0</v>
      </c>
      <c r="H2023" s="247"/>
    </row>
    <row r="2024" spans="1:8" ht="86.25">
      <c r="A2024" s="3">
        <f>IF(F2024="","",COUNTA($F$1249:F2024))</f>
      </c>
      <c r="B2024" s="31" t="s">
        <v>3193</v>
      </c>
      <c r="C2024" s="57"/>
      <c r="E2024" s="8"/>
      <c r="F2024" s="8"/>
      <c r="G2024" s="125"/>
      <c r="H2024" s="247"/>
    </row>
    <row r="2025" spans="1:8" ht="16.5">
      <c r="A2025" s="3">
        <f>IF(F2025="","",COUNTA($F$1249:F2025))</f>
        <v>726</v>
      </c>
      <c r="B2025" s="46" t="s">
        <v>3194</v>
      </c>
      <c r="C2025" s="57" t="s">
        <v>2664</v>
      </c>
      <c r="E2025" s="6">
        <v>618000</v>
      </c>
      <c r="F2025" s="94">
        <v>618000</v>
      </c>
      <c r="G2025" s="125">
        <f t="shared" si="51"/>
        <v>0</v>
      </c>
      <c r="H2025" s="247"/>
    </row>
    <row r="2026" spans="1:8" ht="16.5">
      <c r="A2026" s="3">
        <f>IF(F2026="","",COUNTA($F$1249:F2026))</f>
        <v>727</v>
      </c>
      <c r="B2026" s="46" t="s">
        <v>3195</v>
      </c>
      <c r="C2026" s="57" t="s">
        <v>2664</v>
      </c>
      <c r="E2026" s="6">
        <v>558000</v>
      </c>
      <c r="F2026" s="94">
        <v>558000</v>
      </c>
      <c r="G2026" s="125">
        <f>(E2026-F2026)/E2026</f>
        <v>0</v>
      </c>
      <c r="H2026" s="247"/>
    </row>
    <row r="2027" spans="1:8" ht="103.5">
      <c r="A2027" s="3">
        <f>IF(F2027="","",COUNTA($F$1249:F2027))</f>
      </c>
      <c r="B2027" s="31" t="s">
        <v>3196</v>
      </c>
      <c r="C2027" s="57"/>
      <c r="E2027" s="8"/>
      <c r="F2027" s="8"/>
      <c r="G2027" s="125"/>
      <c r="H2027" s="247"/>
    </row>
    <row r="2028" spans="1:8" ht="16.5">
      <c r="A2028" s="3">
        <f>IF(F2028="","",COUNTA($F$1249:F2028))</f>
        <v>728</v>
      </c>
      <c r="B2028" s="46" t="s">
        <v>3197</v>
      </c>
      <c r="C2028" s="57"/>
      <c r="E2028" s="6">
        <v>1369000</v>
      </c>
      <c r="F2028" s="94">
        <v>1369000</v>
      </c>
      <c r="G2028" s="125">
        <f t="shared" si="51"/>
        <v>0</v>
      </c>
      <c r="H2028" s="247"/>
    </row>
    <row r="2029" spans="1:8" ht="16.5">
      <c r="A2029" s="3">
        <f>IF(F2029="","",COUNTA($F$1249:F2029))</f>
        <v>729</v>
      </c>
      <c r="B2029" s="46" t="s">
        <v>3198</v>
      </c>
      <c r="C2029" s="57"/>
      <c r="E2029" s="6">
        <v>3244800</v>
      </c>
      <c r="F2029" s="94">
        <v>3244800</v>
      </c>
      <c r="G2029" s="125">
        <f>(E2029-F2029)/E2029</f>
        <v>0</v>
      </c>
      <c r="H2029" s="247"/>
    </row>
    <row r="2030" spans="1:8" ht="16.5">
      <c r="A2030" s="3">
        <f>IF(F2030="","",COUNTA($F$1249:F2030))</f>
        <v>730</v>
      </c>
      <c r="B2030" s="46" t="s">
        <v>3199</v>
      </c>
      <c r="C2030" s="57"/>
      <c r="E2030" s="6">
        <v>3476400</v>
      </c>
      <c r="F2030" s="94">
        <v>3476400</v>
      </c>
      <c r="G2030" s="125">
        <f>(E2030-F2030)/E2030</f>
        <v>0</v>
      </c>
      <c r="H2030" s="247"/>
    </row>
    <row r="2031" spans="1:8" ht="16.5">
      <c r="A2031" s="3">
        <f>IF(F2031="","",COUNTA($F$1249:F2031))</f>
        <v>731</v>
      </c>
      <c r="B2031" s="46" t="s">
        <v>3200</v>
      </c>
      <c r="C2031" s="57"/>
      <c r="E2031" s="6">
        <v>5816400</v>
      </c>
      <c r="F2031" s="94">
        <v>5816400</v>
      </c>
      <c r="G2031" s="125">
        <f>(E2031-F2031)/E2031</f>
        <v>0</v>
      </c>
      <c r="H2031" s="247"/>
    </row>
    <row r="2032" spans="1:8" ht="34.5">
      <c r="A2032" s="3">
        <f>IF(F2032="","",COUNTA($F$1249:F2032))</f>
      </c>
      <c r="B2032" s="31" t="s">
        <v>908</v>
      </c>
      <c r="C2032" s="57"/>
      <c r="E2032" s="8"/>
      <c r="F2032" s="8"/>
      <c r="G2032" s="125"/>
      <c r="H2032" s="247"/>
    </row>
    <row r="2033" spans="1:8" ht="33">
      <c r="A2033" s="3">
        <f>IF(F2033="","",COUNTA($F$1249:F2033))</f>
        <v>732</v>
      </c>
      <c r="B2033" s="57" t="s">
        <v>909</v>
      </c>
      <c r="C2033" s="57"/>
      <c r="E2033" s="6">
        <v>46000</v>
      </c>
      <c r="F2033" s="6">
        <v>46000</v>
      </c>
      <c r="G2033" s="125">
        <f t="shared" si="51"/>
        <v>0</v>
      </c>
      <c r="H2033" s="247"/>
    </row>
    <row r="2034" spans="1:8" ht="33">
      <c r="A2034" s="3">
        <f>IF(F2034="","",COUNTA($F$1249:F2034))</f>
        <v>733</v>
      </c>
      <c r="B2034" s="57" t="s">
        <v>910</v>
      </c>
      <c r="C2034" s="57"/>
      <c r="E2034" s="6">
        <v>140000</v>
      </c>
      <c r="F2034" s="6">
        <v>140000</v>
      </c>
      <c r="G2034" s="125">
        <f t="shared" si="51"/>
        <v>0</v>
      </c>
      <c r="H2034" s="247"/>
    </row>
    <row r="2035" spans="1:8" ht="34.5">
      <c r="A2035" s="3">
        <f>IF(F2035="","",COUNTA($F$1249:F2035))</f>
      </c>
      <c r="B2035" s="31" t="s">
        <v>911</v>
      </c>
      <c r="C2035" s="57"/>
      <c r="E2035" s="8"/>
      <c r="F2035" s="8"/>
      <c r="G2035" s="125"/>
      <c r="H2035" s="247"/>
    </row>
    <row r="2036" spans="1:8" ht="16.5">
      <c r="A2036" s="3">
        <f>IF(F2036="","",COUNTA($F$1249:F2036))</f>
        <v>734</v>
      </c>
      <c r="B2036" s="46" t="s">
        <v>2018</v>
      </c>
      <c r="C2036" s="57"/>
      <c r="E2036" s="6">
        <v>25500</v>
      </c>
      <c r="F2036" s="6">
        <v>25500</v>
      </c>
      <c r="G2036" s="125">
        <f t="shared" si="51"/>
        <v>0</v>
      </c>
      <c r="H2036" s="247"/>
    </row>
    <row r="2037" spans="1:8" ht="16.5">
      <c r="A2037" s="3">
        <f>IF(F2037="","",COUNTA($F$1249:F2037))</f>
        <v>735</v>
      </c>
      <c r="B2037" s="46" t="s">
        <v>2019</v>
      </c>
      <c r="C2037" s="57"/>
      <c r="E2037" s="6">
        <v>53250</v>
      </c>
      <c r="F2037" s="6">
        <v>53250</v>
      </c>
      <c r="G2037" s="125">
        <f t="shared" si="51"/>
        <v>0</v>
      </c>
      <c r="H2037" s="247"/>
    </row>
    <row r="2038" spans="1:8" ht="16.5">
      <c r="A2038" s="3">
        <f>IF(F2038="","",COUNTA($F$1249:F2038))</f>
        <v>736</v>
      </c>
      <c r="B2038" s="46" t="s">
        <v>2020</v>
      </c>
      <c r="C2038" s="57"/>
      <c r="E2038" s="6">
        <v>94500</v>
      </c>
      <c r="F2038" s="6">
        <v>94500</v>
      </c>
      <c r="G2038" s="125">
        <f t="shared" si="51"/>
        <v>0</v>
      </c>
      <c r="H2038" s="247"/>
    </row>
    <row r="2039" spans="1:8" ht="16.5">
      <c r="A2039" s="3">
        <f>IF(F2039="","",COUNTA($F$1249:F2039))</f>
        <v>737</v>
      </c>
      <c r="B2039" s="46" t="s">
        <v>2021</v>
      </c>
      <c r="C2039" s="57"/>
      <c r="E2039" s="6">
        <v>165000</v>
      </c>
      <c r="F2039" s="6">
        <v>165000</v>
      </c>
      <c r="G2039" s="125">
        <f t="shared" si="51"/>
        <v>0</v>
      </c>
      <c r="H2039" s="247"/>
    </row>
    <row r="2040" spans="1:8" ht="16.5">
      <c r="A2040" s="3">
        <f>IF(F2040="","",COUNTA($F$1249:F2040))</f>
        <v>738</v>
      </c>
      <c r="B2040" s="46" t="s">
        <v>2022</v>
      </c>
      <c r="C2040" s="57"/>
      <c r="E2040" s="6">
        <v>258750</v>
      </c>
      <c r="F2040" s="6">
        <v>258750</v>
      </c>
      <c r="G2040" s="125">
        <f aca="true" t="shared" si="52" ref="G2040:G2103">(E2040-F2040)/E2040</f>
        <v>0</v>
      </c>
      <c r="H2040" s="247"/>
    </row>
    <row r="2041" spans="1:8" ht="103.5">
      <c r="A2041" s="3">
        <f>IF(F2041="","",COUNTA($F$1249:F2041))</f>
      </c>
      <c r="B2041" s="31" t="s">
        <v>912</v>
      </c>
      <c r="C2041" s="57"/>
      <c r="E2041" s="8"/>
      <c r="F2041" s="8"/>
      <c r="G2041" s="125"/>
      <c r="H2041" s="247"/>
    </row>
    <row r="2042" spans="1:8" ht="33">
      <c r="A2042" s="3">
        <f>IF(F2042="","",COUNTA($F$1249:F2042))</f>
        <v>739</v>
      </c>
      <c r="B2042" s="46" t="s">
        <v>3203</v>
      </c>
      <c r="C2042" s="57"/>
      <c r="E2042" s="6">
        <v>12350000</v>
      </c>
      <c r="F2042" s="94">
        <v>12350000</v>
      </c>
      <c r="G2042" s="125">
        <f t="shared" si="52"/>
        <v>0</v>
      </c>
      <c r="H2042" s="247"/>
    </row>
    <row r="2043" spans="1:8" ht="33">
      <c r="A2043" s="3">
        <f>IF(F2043="","",COUNTA($F$1249:F2043))</f>
        <v>740</v>
      </c>
      <c r="B2043" s="46" t="s">
        <v>3204</v>
      </c>
      <c r="C2043" s="57"/>
      <c r="E2043" s="6">
        <v>12553000</v>
      </c>
      <c r="F2043" s="94">
        <v>12553000</v>
      </c>
      <c r="G2043" s="125">
        <f t="shared" si="52"/>
        <v>0</v>
      </c>
      <c r="H2043" s="247"/>
    </row>
    <row r="2044" spans="1:8" ht="34.5">
      <c r="A2044" s="3">
        <f>IF(F2044="","",COUNTA($F$1249:F2044))</f>
      </c>
      <c r="B2044" s="31" t="s">
        <v>913</v>
      </c>
      <c r="C2044" s="57"/>
      <c r="E2044" s="8"/>
      <c r="F2044" s="8"/>
      <c r="G2044" s="125"/>
      <c r="H2044" s="247"/>
    </row>
    <row r="2045" spans="1:8" ht="16.5">
      <c r="A2045" s="3">
        <f>IF(F2045="","",COUNTA($F$1249:F2045))</f>
        <v>741</v>
      </c>
      <c r="B2045" s="49" t="s">
        <v>914</v>
      </c>
      <c r="C2045" s="57"/>
      <c r="E2045" s="6">
        <v>4250000</v>
      </c>
      <c r="F2045" s="94">
        <v>4250000</v>
      </c>
      <c r="G2045" s="125">
        <f t="shared" si="52"/>
        <v>0</v>
      </c>
      <c r="H2045" s="247"/>
    </row>
    <row r="2046" spans="1:8" ht="16.5">
      <c r="A2046" s="3">
        <f>IF(F2046="","",COUNTA($F$1249:F2046))</f>
        <v>742</v>
      </c>
      <c r="B2046" s="49" t="s">
        <v>915</v>
      </c>
      <c r="C2046" s="57"/>
      <c r="E2046" s="6">
        <v>3200000</v>
      </c>
      <c r="F2046" s="94">
        <v>3200000</v>
      </c>
      <c r="G2046" s="125">
        <f t="shared" si="52"/>
        <v>0</v>
      </c>
      <c r="H2046" s="247"/>
    </row>
    <row r="2047" spans="1:8" ht="34.5">
      <c r="A2047" s="3">
        <f>IF(F2047="","",COUNTA($F$1249:F2047))</f>
      </c>
      <c r="B2047" s="31" t="s">
        <v>917</v>
      </c>
      <c r="C2047" s="48"/>
      <c r="E2047" s="8"/>
      <c r="F2047" s="8"/>
      <c r="G2047" s="125"/>
      <c r="H2047" s="247"/>
    </row>
    <row r="2048" spans="1:8" ht="16.5">
      <c r="A2048" s="3">
        <f>IF(F2048="","",COUNTA($F$1249:F2048))</f>
        <v>743</v>
      </c>
      <c r="B2048" s="25" t="s">
        <v>1957</v>
      </c>
      <c r="C2048" s="21" t="s">
        <v>2664</v>
      </c>
      <c r="E2048" s="6">
        <v>4466400</v>
      </c>
      <c r="F2048" s="94">
        <v>4466400</v>
      </c>
      <c r="G2048" s="125">
        <f t="shared" si="52"/>
        <v>0</v>
      </c>
      <c r="H2048" s="247"/>
    </row>
    <row r="2049" spans="1:8" ht="16.5">
      <c r="A2049" s="3">
        <f>IF(F2049="","",COUNTA($F$1249:F2049))</f>
        <v>744</v>
      </c>
      <c r="B2049" s="25" t="s">
        <v>1958</v>
      </c>
      <c r="C2049" s="21" t="s">
        <v>2664</v>
      </c>
      <c r="E2049" s="6">
        <v>5274000</v>
      </c>
      <c r="F2049" s="94">
        <v>5274000</v>
      </c>
      <c r="G2049" s="125">
        <f t="shared" si="52"/>
        <v>0</v>
      </c>
      <c r="H2049" s="247"/>
    </row>
    <row r="2050" spans="1:8" ht="16.5">
      <c r="A2050" s="3">
        <f>IF(F2050="","",COUNTA($F$1249:F2050))</f>
        <v>745</v>
      </c>
      <c r="B2050" s="25" t="s">
        <v>1959</v>
      </c>
      <c r="C2050" s="21" t="s">
        <v>2664</v>
      </c>
      <c r="E2050" s="6">
        <v>5659200</v>
      </c>
      <c r="F2050" s="94">
        <v>5659200</v>
      </c>
      <c r="G2050" s="125">
        <f t="shared" si="52"/>
        <v>0</v>
      </c>
      <c r="H2050" s="247"/>
    </row>
    <row r="2051" spans="1:8" ht="16.5">
      <c r="A2051" s="3">
        <f>IF(F2051="","",COUNTA($F$1249:F2051))</f>
        <v>746</v>
      </c>
      <c r="B2051" s="25" t="s">
        <v>1960</v>
      </c>
      <c r="C2051" s="21" t="s">
        <v>2664</v>
      </c>
      <c r="E2051" s="6">
        <v>7352400</v>
      </c>
      <c r="F2051" s="94">
        <v>7352400</v>
      </c>
      <c r="G2051" s="125">
        <f t="shared" si="52"/>
        <v>0</v>
      </c>
      <c r="H2051" s="247"/>
    </row>
    <row r="2052" spans="1:8" ht="34.5">
      <c r="A2052" s="3">
        <f>IF(F2052="","",COUNTA($F$1249:F2052))</f>
      </c>
      <c r="B2052" s="31" t="s">
        <v>917</v>
      </c>
      <c r="C2052" s="48"/>
      <c r="E2052" s="219"/>
      <c r="F2052" s="48"/>
      <c r="G2052" s="125"/>
      <c r="H2052" s="247"/>
    </row>
    <row r="2053" spans="1:8" ht="16.5">
      <c r="A2053" s="3">
        <f>IF(F2053="","",COUNTA($F$1249:F2053))</f>
        <v>747</v>
      </c>
      <c r="B2053" s="49" t="s">
        <v>1958</v>
      </c>
      <c r="C2053" s="21" t="s">
        <v>2664</v>
      </c>
      <c r="E2053" s="6">
        <v>5965000</v>
      </c>
      <c r="F2053" s="94">
        <v>5965000</v>
      </c>
      <c r="G2053" s="125">
        <f t="shared" si="52"/>
        <v>0</v>
      </c>
      <c r="H2053" s="247"/>
    </row>
    <row r="2054" spans="1:8" ht="16.5">
      <c r="A2054" s="3">
        <f>IF(F2054="","",COUNTA($F$1249:F2054))</f>
        <v>748</v>
      </c>
      <c r="B2054" s="49" t="s">
        <v>1959</v>
      </c>
      <c r="C2054" s="21" t="s">
        <v>2664</v>
      </c>
      <c r="E2054" s="6">
        <v>7505000</v>
      </c>
      <c r="F2054" s="94">
        <v>7505000</v>
      </c>
      <c r="G2054" s="125">
        <f t="shared" si="52"/>
        <v>0</v>
      </c>
      <c r="H2054" s="247"/>
    </row>
    <row r="2055" spans="1:8" ht="16.5">
      <c r="A2055" s="3">
        <f>IF(F2055="","",COUNTA($F$1249:F2055))</f>
        <v>749</v>
      </c>
      <c r="B2055" s="49" t="s">
        <v>1960</v>
      </c>
      <c r="C2055" s="21" t="s">
        <v>2664</v>
      </c>
      <c r="E2055" s="6">
        <v>9083000</v>
      </c>
      <c r="F2055" s="94">
        <v>9083000</v>
      </c>
      <c r="G2055" s="125">
        <f t="shared" si="52"/>
        <v>0</v>
      </c>
      <c r="H2055" s="247"/>
    </row>
    <row r="2056" spans="1:8" ht="51.75">
      <c r="A2056" s="3">
        <f>IF(F2056="","",COUNTA($F$1249:F2056))</f>
      </c>
      <c r="B2056" s="31" t="s">
        <v>918</v>
      </c>
      <c r="C2056" s="48"/>
      <c r="E2056" s="219"/>
      <c r="F2056" s="48"/>
      <c r="G2056" s="125"/>
      <c r="H2056" s="247"/>
    </row>
    <row r="2057" spans="1:8" ht="16.5">
      <c r="A2057" s="3">
        <f>IF(F2057="","",COUNTA($F$1249:F2057))</f>
        <v>750</v>
      </c>
      <c r="B2057" s="49" t="s">
        <v>1958</v>
      </c>
      <c r="C2057" s="21" t="s">
        <v>2664</v>
      </c>
      <c r="E2057" s="6">
        <v>1963000</v>
      </c>
      <c r="F2057" s="94">
        <v>1963000</v>
      </c>
      <c r="G2057" s="125">
        <f t="shared" si="52"/>
        <v>0</v>
      </c>
      <c r="H2057" s="247"/>
    </row>
    <row r="2058" spans="1:8" ht="16.5">
      <c r="A2058" s="3">
        <f>IF(F2058="","",COUNTA($F$1249:F2058))</f>
        <v>751</v>
      </c>
      <c r="B2058" s="49" t="s">
        <v>1959</v>
      </c>
      <c r="C2058" s="21" t="s">
        <v>2664</v>
      </c>
      <c r="E2058" s="6">
        <v>2356000</v>
      </c>
      <c r="F2058" s="94">
        <v>2356000</v>
      </c>
      <c r="G2058" s="125">
        <f t="shared" si="52"/>
        <v>0</v>
      </c>
      <c r="H2058" s="247"/>
    </row>
    <row r="2059" spans="1:8" ht="16.5">
      <c r="A2059" s="3">
        <f>IF(F2059="","",COUNTA($F$1249:F2059))</f>
        <v>752</v>
      </c>
      <c r="B2059" s="49" t="s">
        <v>1960</v>
      </c>
      <c r="C2059" s="21" t="s">
        <v>2664</v>
      </c>
      <c r="E2059" s="6">
        <v>3108000</v>
      </c>
      <c r="F2059" s="94">
        <v>3108000</v>
      </c>
      <c r="G2059" s="125">
        <f t="shared" si="52"/>
        <v>0</v>
      </c>
      <c r="H2059" s="247"/>
    </row>
    <row r="2060" spans="1:8" ht="16.5">
      <c r="A2060" s="3">
        <f>IF(F2060="","",COUNTA($F$1249:F2060))</f>
        <v>753</v>
      </c>
      <c r="B2060" s="49" t="s">
        <v>916</v>
      </c>
      <c r="C2060" s="21" t="s">
        <v>2664</v>
      </c>
      <c r="E2060" s="6">
        <v>4024000</v>
      </c>
      <c r="F2060" s="94">
        <v>4024000</v>
      </c>
      <c r="G2060" s="125">
        <f t="shared" si="52"/>
        <v>0</v>
      </c>
      <c r="H2060" s="247"/>
    </row>
    <row r="2061" spans="1:8" ht="16.5">
      <c r="A2061" s="3">
        <f>IF(F2061="","",COUNTA($F$1249:F2061))</f>
        <v>754</v>
      </c>
      <c r="B2061" s="49" t="s">
        <v>1970</v>
      </c>
      <c r="C2061" s="21" t="s">
        <v>2664</v>
      </c>
      <c r="E2061" s="6">
        <v>5103000</v>
      </c>
      <c r="F2061" s="94">
        <v>5103000</v>
      </c>
      <c r="G2061" s="125">
        <f t="shared" si="52"/>
        <v>0</v>
      </c>
      <c r="H2061" s="247"/>
    </row>
    <row r="2062" spans="1:8" ht="16.5">
      <c r="A2062" s="3">
        <f>IF(F2062="","",COUNTA($F$1249:F2062))</f>
        <v>755</v>
      </c>
      <c r="B2062" s="49" t="s">
        <v>1971</v>
      </c>
      <c r="C2062" s="21" t="s">
        <v>2664</v>
      </c>
      <c r="E2062" s="6">
        <v>9486000</v>
      </c>
      <c r="F2062" s="94">
        <v>9486000</v>
      </c>
      <c r="G2062" s="125">
        <f t="shared" si="52"/>
        <v>0</v>
      </c>
      <c r="H2062" s="247"/>
    </row>
    <row r="2063" spans="1:8" ht="51.75">
      <c r="A2063" s="3">
        <f>IF(F2063="","",COUNTA($F$1249:F2063))</f>
      </c>
      <c r="B2063" s="31" t="s">
        <v>919</v>
      </c>
      <c r="C2063" s="48"/>
      <c r="E2063" s="219"/>
      <c r="F2063" s="48"/>
      <c r="G2063" s="125"/>
      <c r="H2063" s="247"/>
    </row>
    <row r="2064" spans="1:8" ht="16.5">
      <c r="A2064" s="3">
        <f>IF(F2064="","",COUNTA($F$1249:F2064))</f>
        <v>756</v>
      </c>
      <c r="B2064" s="49" t="s">
        <v>1956</v>
      </c>
      <c r="C2064" s="21" t="s">
        <v>2664</v>
      </c>
      <c r="E2064" s="6">
        <v>4503000</v>
      </c>
      <c r="F2064" s="94">
        <v>4503000</v>
      </c>
      <c r="G2064" s="125">
        <f t="shared" si="52"/>
        <v>0</v>
      </c>
      <c r="H2064" s="247"/>
    </row>
    <row r="2065" spans="1:8" ht="16.5">
      <c r="A2065" s="3">
        <f>IF(F2065="","",COUNTA($F$1249:F2065))</f>
        <v>757</v>
      </c>
      <c r="B2065" s="49" t="s">
        <v>1957</v>
      </c>
      <c r="C2065" s="21" t="s">
        <v>2664</v>
      </c>
      <c r="E2065" s="6">
        <v>4696000</v>
      </c>
      <c r="F2065" s="94">
        <v>4696000</v>
      </c>
      <c r="G2065" s="125">
        <f t="shared" si="52"/>
        <v>0</v>
      </c>
      <c r="H2065" s="247"/>
    </row>
    <row r="2066" spans="1:8" ht="16.5">
      <c r="A2066" s="3">
        <f>IF(F2066="","",COUNTA($F$1249:F2066))</f>
        <v>758</v>
      </c>
      <c r="B2066" s="49" t="s">
        <v>1958</v>
      </c>
      <c r="C2066" s="21" t="s">
        <v>2664</v>
      </c>
      <c r="E2066" s="6">
        <v>5195000</v>
      </c>
      <c r="F2066" s="94">
        <v>5195000</v>
      </c>
      <c r="G2066" s="125">
        <f t="shared" si="52"/>
        <v>0</v>
      </c>
      <c r="H2066" s="247"/>
    </row>
    <row r="2067" spans="1:8" ht="16.5">
      <c r="A2067" s="3">
        <f>IF(F2067="","",COUNTA($F$1249:F2067))</f>
        <v>759</v>
      </c>
      <c r="B2067" s="49" t="s">
        <v>1959</v>
      </c>
      <c r="C2067" s="21" t="s">
        <v>2664</v>
      </c>
      <c r="E2067" s="6">
        <v>5734000</v>
      </c>
      <c r="F2067" s="94">
        <v>5734000</v>
      </c>
      <c r="G2067" s="125">
        <f t="shared" si="52"/>
        <v>0</v>
      </c>
      <c r="H2067" s="247"/>
    </row>
    <row r="2068" spans="1:8" ht="16.5">
      <c r="A2068" s="3">
        <f>IF(F2068="","",COUNTA($F$1249:F2068))</f>
        <v>760</v>
      </c>
      <c r="B2068" s="49" t="s">
        <v>1960</v>
      </c>
      <c r="C2068" s="21" t="s">
        <v>2664</v>
      </c>
      <c r="E2068" s="6">
        <v>6273000</v>
      </c>
      <c r="F2068" s="94">
        <v>6273000</v>
      </c>
      <c r="G2068" s="125">
        <f t="shared" si="52"/>
        <v>0</v>
      </c>
      <c r="H2068" s="247"/>
    </row>
    <row r="2069" spans="1:8" ht="16.5">
      <c r="A2069" s="3">
        <f>IF(F2069="","",COUNTA($F$1249:F2069))</f>
        <v>761</v>
      </c>
      <c r="B2069" s="49" t="s">
        <v>916</v>
      </c>
      <c r="C2069" s="21" t="s">
        <v>2664</v>
      </c>
      <c r="E2069" s="6">
        <v>7658000</v>
      </c>
      <c r="F2069" s="94">
        <v>7658000</v>
      </c>
      <c r="G2069" s="125">
        <f t="shared" si="52"/>
        <v>0</v>
      </c>
      <c r="H2069" s="247"/>
    </row>
    <row r="2070" spans="1:8" ht="16.5">
      <c r="A2070" s="3">
        <f>IF(F2070="","",COUNTA($F$1249:F2070))</f>
        <v>762</v>
      </c>
      <c r="B2070" s="49" t="s">
        <v>1970</v>
      </c>
      <c r="C2070" s="21" t="s">
        <v>2664</v>
      </c>
      <c r="E2070" s="6">
        <v>9198000</v>
      </c>
      <c r="F2070" s="94">
        <v>9198000</v>
      </c>
      <c r="G2070" s="125">
        <f t="shared" si="52"/>
        <v>0</v>
      </c>
      <c r="H2070" s="247"/>
    </row>
    <row r="2071" spans="1:8" ht="51.75">
      <c r="A2071" s="3">
        <f>IF(F2071="","",COUNTA($F$1249:F2071))</f>
      </c>
      <c r="B2071" s="31" t="s">
        <v>920</v>
      </c>
      <c r="C2071" s="48"/>
      <c r="E2071" s="219"/>
      <c r="F2071" s="48"/>
      <c r="G2071" s="125"/>
      <c r="H2071" s="247"/>
    </row>
    <row r="2072" spans="1:8" ht="16.5">
      <c r="A2072" s="3">
        <f>IF(F2072="","",COUNTA($F$1249:F2072))</f>
        <v>763</v>
      </c>
      <c r="B2072" s="49" t="s">
        <v>1957</v>
      </c>
      <c r="C2072" s="21" t="s">
        <v>2664</v>
      </c>
      <c r="E2072" s="6">
        <v>2579000</v>
      </c>
      <c r="F2072" s="94">
        <v>2579000</v>
      </c>
      <c r="G2072" s="125">
        <f t="shared" si="52"/>
        <v>0</v>
      </c>
      <c r="H2072" s="247"/>
    </row>
    <row r="2073" spans="1:8" ht="16.5">
      <c r="A2073" s="3">
        <f>IF(F2073="","",COUNTA($F$1249:F2073))</f>
        <v>764</v>
      </c>
      <c r="B2073" s="49" t="s">
        <v>1958</v>
      </c>
      <c r="C2073" s="21" t="s">
        <v>2664</v>
      </c>
      <c r="E2073" s="6">
        <v>3156000</v>
      </c>
      <c r="F2073" s="94">
        <v>3156000</v>
      </c>
      <c r="G2073" s="125">
        <f t="shared" si="52"/>
        <v>0</v>
      </c>
      <c r="H2073" s="247"/>
    </row>
    <row r="2074" spans="1:8" ht="16.5">
      <c r="A2074" s="3">
        <f>IF(F2074="","",COUNTA($F$1249:F2074))</f>
        <v>765</v>
      </c>
      <c r="B2074" s="49" t="s">
        <v>1959</v>
      </c>
      <c r="C2074" s="21" t="s">
        <v>2664</v>
      </c>
      <c r="E2074" s="6">
        <v>3579000</v>
      </c>
      <c r="F2074" s="94">
        <v>3579000</v>
      </c>
      <c r="G2074" s="125">
        <f t="shared" si="52"/>
        <v>0</v>
      </c>
      <c r="H2074" s="247"/>
    </row>
    <row r="2075" spans="1:8" ht="16.5">
      <c r="A2075" s="3">
        <f>IF(F2075="","",COUNTA($F$1249:F2075))</f>
        <v>766</v>
      </c>
      <c r="B2075" s="49" t="s">
        <v>1960</v>
      </c>
      <c r="C2075" s="21" t="s">
        <v>2664</v>
      </c>
      <c r="E2075" s="6">
        <v>5042000</v>
      </c>
      <c r="F2075" s="94">
        <v>5042000</v>
      </c>
      <c r="G2075" s="125">
        <f t="shared" si="52"/>
        <v>0</v>
      </c>
      <c r="H2075" s="247"/>
    </row>
    <row r="2076" spans="1:8" ht="16.5">
      <c r="A2076" s="3">
        <f>IF(F2076="","",COUNTA($F$1249:F2076))</f>
        <v>767</v>
      </c>
      <c r="B2076" s="49" t="s">
        <v>916</v>
      </c>
      <c r="C2076" s="21" t="s">
        <v>2664</v>
      </c>
      <c r="E2076" s="6">
        <v>6119000</v>
      </c>
      <c r="F2076" s="94">
        <v>6119000</v>
      </c>
      <c r="G2076" s="125">
        <f t="shared" si="52"/>
        <v>0</v>
      </c>
      <c r="H2076" s="247"/>
    </row>
    <row r="2077" spans="1:8" ht="16.5">
      <c r="A2077" s="3">
        <f>IF(F2077="","",COUNTA($F$1249:F2077))</f>
        <v>768</v>
      </c>
      <c r="B2077" s="49" t="s">
        <v>1970</v>
      </c>
      <c r="C2077" s="21" t="s">
        <v>2664</v>
      </c>
      <c r="E2077" s="6">
        <v>7120000</v>
      </c>
      <c r="F2077" s="94">
        <v>7120000</v>
      </c>
      <c r="G2077" s="125">
        <f t="shared" si="52"/>
        <v>0</v>
      </c>
      <c r="H2077" s="247"/>
    </row>
    <row r="2078" spans="1:8" ht="16.5">
      <c r="A2078" s="3">
        <f>IF(F2078="","",COUNTA($F$1249:F2078))</f>
        <v>769</v>
      </c>
      <c r="B2078" s="49" t="s">
        <v>1971</v>
      </c>
      <c r="C2078" s="21" t="s">
        <v>2664</v>
      </c>
      <c r="E2078" s="6">
        <v>11892000</v>
      </c>
      <c r="F2078" s="94">
        <v>11892000</v>
      </c>
      <c r="G2078" s="125">
        <f t="shared" si="52"/>
        <v>0</v>
      </c>
      <c r="H2078" s="247"/>
    </row>
    <row r="2079" spans="1:8" ht="51.75">
      <c r="A2079" s="3">
        <f>IF(F2079="","",COUNTA($F$1249:F2079))</f>
      </c>
      <c r="B2079" s="31" t="s">
        <v>921</v>
      </c>
      <c r="C2079" s="48"/>
      <c r="E2079" s="219"/>
      <c r="F2079" s="48"/>
      <c r="G2079" s="125"/>
      <c r="H2079" s="247"/>
    </row>
    <row r="2080" spans="1:8" ht="16.5">
      <c r="A2080" s="3">
        <f>IF(F2080="","",COUNTA($F$1249:F2080))</f>
        <v>770</v>
      </c>
      <c r="B2080" s="49" t="s">
        <v>1954</v>
      </c>
      <c r="C2080" s="21" t="s">
        <v>2664</v>
      </c>
      <c r="E2080" s="6">
        <v>8004000</v>
      </c>
      <c r="F2080" s="94">
        <v>8004000</v>
      </c>
      <c r="G2080" s="125">
        <f t="shared" si="52"/>
        <v>0</v>
      </c>
      <c r="H2080" s="247"/>
    </row>
    <row r="2081" spans="1:8" ht="16.5">
      <c r="A2081" s="3">
        <f>IF(F2081="","",COUNTA($F$1249:F2081))</f>
        <v>771</v>
      </c>
      <c r="B2081" s="49" t="s">
        <v>922</v>
      </c>
      <c r="C2081" s="21" t="s">
        <v>2664</v>
      </c>
      <c r="E2081" s="6">
        <v>8544000</v>
      </c>
      <c r="F2081" s="94">
        <v>8544000</v>
      </c>
      <c r="G2081" s="125">
        <f t="shared" si="52"/>
        <v>0</v>
      </c>
      <c r="H2081" s="247"/>
    </row>
    <row r="2082" spans="1:8" ht="16.5">
      <c r="A2082" s="3">
        <f>IF(F2082="","",COUNTA($F$1249:F2082))</f>
        <v>772</v>
      </c>
      <c r="B2082" s="49" t="s">
        <v>1959</v>
      </c>
      <c r="C2082" s="21" t="s">
        <v>2664</v>
      </c>
      <c r="E2082" s="6">
        <v>9699000</v>
      </c>
      <c r="F2082" s="94">
        <v>9699000</v>
      </c>
      <c r="G2082" s="125">
        <f t="shared" si="52"/>
        <v>0</v>
      </c>
      <c r="H2082" s="247"/>
    </row>
    <row r="2083" spans="1:8" ht="51.75">
      <c r="A2083" s="3">
        <f>IF(F2083="","",COUNTA($F$1249:F2083))</f>
      </c>
      <c r="B2083" s="31" t="s">
        <v>923</v>
      </c>
      <c r="C2083" s="48"/>
      <c r="E2083" s="219"/>
      <c r="F2083" s="48"/>
      <c r="G2083" s="125"/>
      <c r="H2083" s="247"/>
    </row>
    <row r="2084" spans="1:8" ht="16.5">
      <c r="A2084" s="3">
        <f>IF(F2084="","",COUNTA($F$1249:F2084))</f>
        <v>773</v>
      </c>
      <c r="B2084" s="46" t="s">
        <v>1958</v>
      </c>
      <c r="C2084" s="21" t="s">
        <v>2664</v>
      </c>
      <c r="E2084" s="6">
        <v>1654000</v>
      </c>
      <c r="F2084" s="94">
        <v>1654000</v>
      </c>
      <c r="G2084" s="125">
        <f t="shared" si="52"/>
        <v>0</v>
      </c>
      <c r="H2084" s="247"/>
    </row>
    <row r="2085" spans="1:8" ht="16.5">
      <c r="A2085" s="3">
        <f>IF(F2085="","",COUNTA($F$1249:F2085))</f>
        <v>774</v>
      </c>
      <c r="B2085" s="46" t="s">
        <v>1959</v>
      </c>
      <c r="C2085" s="21" t="s">
        <v>2664</v>
      </c>
      <c r="E2085" s="6">
        <v>2078000</v>
      </c>
      <c r="F2085" s="94">
        <v>2078000</v>
      </c>
      <c r="G2085" s="125">
        <f t="shared" si="52"/>
        <v>0</v>
      </c>
      <c r="H2085" s="247"/>
    </row>
    <row r="2086" spans="1:8" ht="16.5">
      <c r="A2086" s="3">
        <f>IF(F2086="","",COUNTA($F$1249:F2086))</f>
        <v>775</v>
      </c>
      <c r="B2086" s="46" t="s">
        <v>1960</v>
      </c>
      <c r="C2086" s="21" t="s">
        <v>2664</v>
      </c>
      <c r="E2086" s="6">
        <v>2463000</v>
      </c>
      <c r="F2086" s="94">
        <v>2463000</v>
      </c>
      <c r="G2086" s="125">
        <f t="shared" si="52"/>
        <v>0</v>
      </c>
      <c r="H2086" s="247"/>
    </row>
    <row r="2087" spans="1:8" ht="16.5">
      <c r="A2087" s="3">
        <f>IF(F2087="","",COUNTA($F$1249:F2087))</f>
        <v>776</v>
      </c>
      <c r="B2087" s="46" t="s">
        <v>916</v>
      </c>
      <c r="C2087" s="21" t="s">
        <v>2664</v>
      </c>
      <c r="E2087" s="6">
        <v>3310000</v>
      </c>
      <c r="F2087" s="94">
        <v>3310000</v>
      </c>
      <c r="G2087" s="125">
        <f t="shared" si="52"/>
        <v>0</v>
      </c>
      <c r="H2087" s="247"/>
    </row>
    <row r="2088" spans="1:8" ht="16.5">
      <c r="A2088" s="3">
        <f>IF(F2088="","",COUNTA($F$1249:F2088))</f>
        <v>777</v>
      </c>
      <c r="B2088" s="46" t="s">
        <v>1970</v>
      </c>
      <c r="C2088" s="21" t="s">
        <v>2664</v>
      </c>
      <c r="E2088" s="6">
        <v>4465000</v>
      </c>
      <c r="F2088" s="94">
        <v>4465000</v>
      </c>
      <c r="G2088" s="125">
        <f t="shared" si="52"/>
        <v>0</v>
      </c>
      <c r="H2088" s="247"/>
    </row>
    <row r="2089" spans="1:8" ht="16.5">
      <c r="A2089" s="3">
        <f>IF(F2089="","",COUNTA($F$1249:F2089))</f>
        <v>778</v>
      </c>
      <c r="B2089" s="46" t="s">
        <v>1971</v>
      </c>
      <c r="C2089" s="21" t="s">
        <v>2664</v>
      </c>
      <c r="E2089" s="6">
        <v>6389000</v>
      </c>
      <c r="F2089" s="94">
        <v>6389000</v>
      </c>
      <c r="G2089" s="125">
        <f t="shared" si="52"/>
        <v>0</v>
      </c>
      <c r="H2089" s="247"/>
    </row>
    <row r="2090" spans="1:8" ht="16.5">
      <c r="A2090" s="3">
        <f>IF(F2090="","",COUNTA($F$1249:F2090))</f>
        <v>779</v>
      </c>
      <c r="B2090" s="46" t="s">
        <v>2451</v>
      </c>
      <c r="C2090" s="21" t="s">
        <v>2664</v>
      </c>
      <c r="E2090" s="6">
        <v>8737000</v>
      </c>
      <c r="F2090" s="94">
        <v>8737000</v>
      </c>
      <c r="G2090" s="125">
        <f t="shared" si="52"/>
        <v>0</v>
      </c>
      <c r="H2090" s="247"/>
    </row>
    <row r="2091" spans="1:8" ht="34.5">
      <c r="A2091" s="3">
        <f>IF(F2091="","",COUNTA($F$1249:F2091))</f>
      </c>
      <c r="B2091" s="31" t="s">
        <v>924</v>
      </c>
      <c r="C2091" s="48"/>
      <c r="E2091" s="219"/>
      <c r="F2091" s="48"/>
      <c r="G2091" s="125"/>
      <c r="H2091" s="247"/>
    </row>
    <row r="2092" spans="1:8" ht="16.5">
      <c r="A2092" s="3">
        <f>IF(F2092="","",COUNTA($F$1249:F2092))</f>
        <v>780</v>
      </c>
      <c r="B2092" s="46" t="s">
        <v>1957</v>
      </c>
      <c r="C2092" s="21" t="s">
        <v>2664</v>
      </c>
      <c r="E2092" s="6">
        <v>3425000</v>
      </c>
      <c r="F2092" s="94">
        <v>3425000</v>
      </c>
      <c r="G2092" s="125">
        <f t="shared" si="52"/>
        <v>0</v>
      </c>
      <c r="H2092" s="247"/>
    </row>
    <row r="2093" spans="1:8" ht="16.5">
      <c r="A2093" s="3">
        <f>IF(F2093="","",COUNTA($F$1249:F2093))</f>
        <v>781</v>
      </c>
      <c r="B2093" s="46" t="s">
        <v>1958</v>
      </c>
      <c r="C2093" s="21" t="s">
        <v>2664</v>
      </c>
      <c r="E2093" s="6">
        <v>3695000</v>
      </c>
      <c r="F2093" s="94">
        <v>3695000</v>
      </c>
      <c r="G2093" s="125">
        <f t="shared" si="52"/>
        <v>0</v>
      </c>
      <c r="H2093" s="247"/>
    </row>
    <row r="2094" spans="1:8" ht="16.5">
      <c r="A2094" s="3">
        <f>IF(F2094="","",COUNTA($F$1249:F2094))</f>
        <v>782</v>
      </c>
      <c r="B2094" s="46" t="s">
        <v>1959</v>
      </c>
      <c r="C2094" s="21" t="s">
        <v>2664</v>
      </c>
      <c r="E2094" s="6">
        <v>5234000</v>
      </c>
      <c r="F2094" s="94">
        <v>5234000</v>
      </c>
      <c r="G2094" s="125">
        <f t="shared" si="52"/>
        <v>0</v>
      </c>
      <c r="H2094" s="247"/>
    </row>
    <row r="2095" spans="1:8" ht="16.5">
      <c r="A2095" s="3">
        <f>IF(F2095="","",COUNTA($F$1249:F2095))</f>
        <v>783</v>
      </c>
      <c r="B2095" s="46" t="s">
        <v>1960</v>
      </c>
      <c r="C2095" s="21" t="s">
        <v>2664</v>
      </c>
      <c r="E2095" s="6">
        <v>5926000</v>
      </c>
      <c r="F2095" s="94">
        <v>5926000</v>
      </c>
      <c r="G2095" s="125">
        <f t="shared" si="52"/>
        <v>0</v>
      </c>
      <c r="H2095" s="247"/>
    </row>
    <row r="2096" spans="1:8" ht="16.5">
      <c r="A2096" s="3">
        <f>IF(F2096="","",COUNTA($F$1249:F2096))</f>
        <v>784</v>
      </c>
      <c r="B2096" s="46" t="s">
        <v>916</v>
      </c>
      <c r="C2096" s="21" t="s">
        <v>2664</v>
      </c>
      <c r="E2096" s="6">
        <v>8121000</v>
      </c>
      <c r="F2096" s="94">
        <v>8121000</v>
      </c>
      <c r="G2096" s="125">
        <f t="shared" si="52"/>
        <v>0</v>
      </c>
      <c r="H2096" s="247"/>
    </row>
    <row r="2097" spans="1:8" ht="16.5">
      <c r="A2097" s="3">
        <f>IF(F2097="","",COUNTA($F$1249:F2097))</f>
        <v>785</v>
      </c>
      <c r="B2097" s="46" t="s">
        <v>1970</v>
      </c>
      <c r="C2097" s="21" t="s">
        <v>2664</v>
      </c>
      <c r="E2097" s="6">
        <v>8774000</v>
      </c>
      <c r="F2097" s="94">
        <v>8774000</v>
      </c>
      <c r="G2097" s="125">
        <f t="shared" si="52"/>
        <v>0</v>
      </c>
      <c r="H2097" s="247"/>
    </row>
    <row r="2098" spans="1:8" ht="16.5">
      <c r="A2098" s="3">
        <f>IF(F2098="","",COUNTA($F$1249:F2098))</f>
        <v>786</v>
      </c>
      <c r="B2098" s="46" t="s">
        <v>1971</v>
      </c>
      <c r="C2098" s="21" t="s">
        <v>2664</v>
      </c>
      <c r="E2098" s="6">
        <v>12354000</v>
      </c>
      <c r="F2098" s="94">
        <v>12354000</v>
      </c>
      <c r="G2098" s="125">
        <f t="shared" si="52"/>
        <v>0</v>
      </c>
      <c r="H2098" s="247"/>
    </row>
    <row r="2099" spans="1:8" ht="34.5">
      <c r="A2099" s="3">
        <f>IF(F2099="","",COUNTA($F$1249:F2099))</f>
      </c>
      <c r="B2099" s="31" t="s">
        <v>925</v>
      </c>
      <c r="C2099" s="48"/>
      <c r="E2099" s="219"/>
      <c r="F2099" s="48"/>
      <c r="G2099" s="125"/>
      <c r="H2099" s="247"/>
    </row>
    <row r="2100" spans="1:8" ht="16.5">
      <c r="A2100" s="3">
        <f>IF(F2100="","",COUNTA($F$1249:F2100))</f>
        <v>787</v>
      </c>
      <c r="B2100" s="46" t="s">
        <v>1959</v>
      </c>
      <c r="C2100" s="21" t="s">
        <v>2664</v>
      </c>
      <c r="E2100" s="6">
        <v>4156000</v>
      </c>
      <c r="F2100" s="94">
        <v>4156000</v>
      </c>
      <c r="G2100" s="125">
        <f t="shared" si="52"/>
        <v>0</v>
      </c>
      <c r="H2100" s="247"/>
    </row>
    <row r="2101" spans="1:8" ht="16.5">
      <c r="A2101" s="3">
        <f>IF(F2101="","",COUNTA($F$1249:F2101))</f>
        <v>788</v>
      </c>
      <c r="B2101" s="46" t="s">
        <v>1960</v>
      </c>
      <c r="C2101" s="21" t="s">
        <v>2664</v>
      </c>
      <c r="E2101" s="6">
        <v>5695000</v>
      </c>
      <c r="F2101" s="94">
        <v>5695000</v>
      </c>
      <c r="G2101" s="125">
        <f t="shared" si="52"/>
        <v>0</v>
      </c>
      <c r="H2101" s="247"/>
    </row>
    <row r="2102" spans="1:8" ht="16.5">
      <c r="A2102" s="3">
        <f>IF(F2102="","",COUNTA($F$1249:F2102))</f>
        <v>789</v>
      </c>
      <c r="B2102" s="46" t="s">
        <v>916</v>
      </c>
      <c r="C2102" s="21" t="s">
        <v>2664</v>
      </c>
      <c r="E2102" s="6">
        <v>8274000</v>
      </c>
      <c r="F2102" s="94">
        <v>8274000</v>
      </c>
      <c r="G2102" s="125">
        <f t="shared" si="52"/>
        <v>0</v>
      </c>
      <c r="H2102" s="247"/>
    </row>
    <row r="2103" spans="1:8" ht="16.5">
      <c r="A2103" s="3">
        <f>IF(F2103="","",COUNTA($F$1249:F2103))</f>
        <v>790</v>
      </c>
      <c r="B2103" s="46" t="s">
        <v>1970</v>
      </c>
      <c r="C2103" s="21" t="s">
        <v>2664</v>
      </c>
      <c r="E2103" s="6">
        <v>11815000</v>
      </c>
      <c r="F2103" s="94">
        <v>11815000</v>
      </c>
      <c r="G2103" s="125">
        <f t="shared" si="52"/>
        <v>0</v>
      </c>
      <c r="H2103" s="247"/>
    </row>
    <row r="2104" spans="1:8" ht="17.25">
      <c r="A2104" s="3">
        <f>IF(F2104="","",COUNTA($F$1249:F2104))</f>
      </c>
      <c r="B2104" s="35" t="s">
        <v>437</v>
      </c>
      <c r="E2104" s="6"/>
      <c r="F2104" s="6"/>
      <c r="G2104" s="125"/>
      <c r="H2104" s="247" t="s">
        <v>438</v>
      </c>
    </row>
    <row r="2105" spans="1:8" ht="16.5">
      <c r="A2105" s="3">
        <f>IF(F2105="","",COUNTA($F$1249:F2105))</f>
        <v>791</v>
      </c>
      <c r="B2105" s="54" t="s">
        <v>439</v>
      </c>
      <c r="C2105" s="21" t="s">
        <v>440</v>
      </c>
      <c r="D2105" s="275" t="s">
        <v>441</v>
      </c>
      <c r="E2105" s="220">
        <v>6909</v>
      </c>
      <c r="F2105" s="88">
        <v>6909</v>
      </c>
      <c r="G2105" s="125">
        <f aca="true" t="shared" si="53" ref="G2105:G2167">(E2105-F2105)/E2105</f>
        <v>0</v>
      </c>
      <c r="H2105" s="247"/>
    </row>
    <row r="2106" spans="1:8" ht="16.5">
      <c r="A2106" s="3">
        <f>IF(F2106="","",COUNTA($F$1249:F2106))</f>
        <v>792</v>
      </c>
      <c r="B2106" s="54" t="s">
        <v>442</v>
      </c>
      <c r="C2106" s="21" t="s">
        <v>440</v>
      </c>
      <c r="D2106" s="275"/>
      <c r="E2106" s="220">
        <v>8545</v>
      </c>
      <c r="F2106" s="88">
        <v>8545</v>
      </c>
      <c r="G2106" s="125">
        <f t="shared" si="53"/>
        <v>0</v>
      </c>
      <c r="H2106" s="247"/>
    </row>
    <row r="2107" spans="1:8" ht="16.5">
      <c r="A2107" s="3">
        <f>IF(F2107="","",COUNTA($F$1249:F2107))</f>
        <v>793</v>
      </c>
      <c r="B2107" s="54" t="s">
        <v>443</v>
      </c>
      <c r="C2107" s="21" t="s">
        <v>440</v>
      </c>
      <c r="D2107" s="275"/>
      <c r="E2107" s="220">
        <v>9273</v>
      </c>
      <c r="F2107" s="88">
        <v>9273</v>
      </c>
      <c r="G2107" s="125">
        <f t="shared" si="53"/>
        <v>0</v>
      </c>
      <c r="H2107" s="247"/>
    </row>
    <row r="2108" spans="1:8" ht="16.5">
      <c r="A2108" s="3">
        <f>IF(F2108="","",COUNTA($F$1249:F2108))</f>
        <v>794</v>
      </c>
      <c r="B2108" s="54" t="s">
        <v>444</v>
      </c>
      <c r="C2108" s="21" t="s">
        <v>440</v>
      </c>
      <c r="D2108" s="275"/>
      <c r="E2108" s="220">
        <v>11182</v>
      </c>
      <c r="F2108" s="88">
        <v>11182</v>
      </c>
      <c r="G2108" s="125">
        <f t="shared" si="53"/>
        <v>0</v>
      </c>
      <c r="H2108" s="247"/>
    </row>
    <row r="2109" spans="1:8" ht="16.5">
      <c r="A2109" s="3">
        <f>IF(F2109="","",COUNTA($F$1249:F2109))</f>
        <v>795</v>
      </c>
      <c r="B2109" s="54" t="s">
        <v>445</v>
      </c>
      <c r="C2109" s="21" t="s">
        <v>440</v>
      </c>
      <c r="D2109" s="275"/>
      <c r="E2109" s="220">
        <v>13091</v>
      </c>
      <c r="F2109" s="88">
        <v>13091</v>
      </c>
      <c r="G2109" s="125">
        <f t="shared" si="53"/>
        <v>0</v>
      </c>
      <c r="H2109" s="247"/>
    </row>
    <row r="2110" spans="1:8" ht="16.5">
      <c r="A2110" s="3">
        <f>IF(F2110="","",COUNTA($F$1249:F2110))</f>
        <v>796</v>
      </c>
      <c r="B2110" s="54" t="s">
        <v>446</v>
      </c>
      <c r="C2110" s="21" t="s">
        <v>440</v>
      </c>
      <c r="D2110" s="275"/>
      <c r="E2110" s="220">
        <v>8636</v>
      </c>
      <c r="F2110" s="88">
        <v>8636</v>
      </c>
      <c r="G2110" s="125">
        <f t="shared" si="53"/>
        <v>0</v>
      </c>
      <c r="H2110" s="247"/>
    </row>
    <row r="2111" spans="1:8" ht="16.5">
      <c r="A2111" s="3">
        <f>IF(F2111="","",COUNTA($F$1249:F2111))</f>
        <v>797</v>
      </c>
      <c r="B2111" s="54" t="s">
        <v>447</v>
      </c>
      <c r="C2111" s="21" t="s">
        <v>440</v>
      </c>
      <c r="D2111" s="275"/>
      <c r="E2111" s="220">
        <v>10818</v>
      </c>
      <c r="F2111" s="88">
        <v>10818</v>
      </c>
      <c r="G2111" s="125">
        <f t="shared" si="53"/>
        <v>0</v>
      </c>
      <c r="H2111" s="247"/>
    </row>
    <row r="2112" spans="1:8" ht="16.5">
      <c r="A2112" s="3">
        <f>IF(F2112="","",COUNTA($F$1249:F2112))</f>
        <v>798</v>
      </c>
      <c r="B2112" s="54" t="s">
        <v>448</v>
      </c>
      <c r="C2112" s="21" t="s">
        <v>440</v>
      </c>
      <c r="D2112" s="275"/>
      <c r="E2112" s="220">
        <v>12727</v>
      </c>
      <c r="F2112" s="88">
        <v>12727</v>
      </c>
      <c r="G2112" s="125">
        <f t="shared" si="53"/>
        <v>0</v>
      </c>
      <c r="H2112" s="247"/>
    </row>
    <row r="2113" spans="1:8" ht="16.5">
      <c r="A2113" s="3">
        <f>IF(F2113="","",COUNTA($F$1249:F2113))</f>
        <v>799</v>
      </c>
      <c r="B2113" s="54" t="s">
        <v>449</v>
      </c>
      <c r="C2113" s="21" t="s">
        <v>440</v>
      </c>
      <c r="D2113" s="275"/>
      <c r="E2113" s="220">
        <v>14182</v>
      </c>
      <c r="F2113" s="88">
        <v>14182</v>
      </c>
      <c r="G2113" s="125">
        <f t="shared" si="53"/>
        <v>0</v>
      </c>
      <c r="H2113" s="247"/>
    </row>
    <row r="2114" spans="1:8" ht="16.5">
      <c r="A2114" s="3">
        <f>IF(F2114="","",COUNTA($F$1249:F2114))</f>
        <v>800</v>
      </c>
      <c r="B2114" s="54" t="s">
        <v>450</v>
      </c>
      <c r="C2114" s="21" t="s">
        <v>440</v>
      </c>
      <c r="D2114" s="275"/>
      <c r="E2114" s="220">
        <v>20091</v>
      </c>
      <c r="F2114" s="88">
        <v>20091</v>
      </c>
      <c r="G2114" s="125">
        <f t="shared" si="53"/>
        <v>0</v>
      </c>
      <c r="H2114" s="247"/>
    </row>
    <row r="2115" spans="1:8" ht="16.5">
      <c r="A2115" s="3">
        <f>IF(F2115="","",COUNTA($F$1249:F2115))</f>
        <v>801</v>
      </c>
      <c r="B2115" s="54" t="s">
        <v>451</v>
      </c>
      <c r="C2115" s="21" t="s">
        <v>440</v>
      </c>
      <c r="D2115" s="275"/>
      <c r="E2115" s="220">
        <v>11182</v>
      </c>
      <c r="F2115" s="88">
        <v>11182</v>
      </c>
      <c r="G2115" s="125">
        <f t="shared" si="53"/>
        <v>0</v>
      </c>
      <c r="H2115" s="247"/>
    </row>
    <row r="2116" spans="1:8" ht="16.5">
      <c r="A2116" s="3">
        <f>IF(F2116="","",COUNTA($F$1249:F2116))</f>
        <v>802</v>
      </c>
      <c r="B2116" s="54" t="s">
        <v>452</v>
      </c>
      <c r="C2116" s="21" t="s">
        <v>440</v>
      </c>
      <c r="D2116" s="275"/>
      <c r="E2116" s="220">
        <v>13091</v>
      </c>
      <c r="F2116" s="88">
        <v>13091</v>
      </c>
      <c r="G2116" s="125">
        <f t="shared" si="53"/>
        <v>0</v>
      </c>
      <c r="H2116" s="247"/>
    </row>
    <row r="2117" spans="1:8" ht="16.5">
      <c r="A2117" s="3">
        <f>IF(F2117="","",COUNTA($F$1249:F2117))</f>
        <v>803</v>
      </c>
      <c r="B2117" s="54" t="s">
        <v>453</v>
      </c>
      <c r="C2117" s="21" t="s">
        <v>440</v>
      </c>
      <c r="D2117" s="275"/>
      <c r="E2117" s="220">
        <v>16091</v>
      </c>
      <c r="F2117" s="88">
        <v>16091</v>
      </c>
      <c r="G2117" s="125">
        <f t="shared" si="53"/>
        <v>0</v>
      </c>
      <c r="H2117" s="247"/>
    </row>
    <row r="2118" spans="1:8" ht="16.5">
      <c r="A2118" s="3">
        <f>IF(F2118="","",COUNTA($F$1249:F2118))</f>
        <v>804</v>
      </c>
      <c r="B2118" s="54" t="s">
        <v>454</v>
      </c>
      <c r="C2118" s="21" t="s">
        <v>440</v>
      </c>
      <c r="D2118" s="275"/>
      <c r="E2118" s="220">
        <v>19545</v>
      </c>
      <c r="F2118" s="88">
        <v>19545</v>
      </c>
      <c r="G2118" s="125">
        <f t="shared" si="53"/>
        <v>0</v>
      </c>
      <c r="H2118" s="247"/>
    </row>
    <row r="2119" spans="1:8" ht="16.5">
      <c r="A2119" s="3">
        <f>IF(F2119="","",COUNTA($F$1249:F2119))</f>
        <v>805</v>
      </c>
      <c r="B2119" s="54" t="s">
        <v>455</v>
      </c>
      <c r="C2119" s="21" t="s">
        <v>440</v>
      </c>
      <c r="D2119" s="275"/>
      <c r="E2119" s="220">
        <v>22364</v>
      </c>
      <c r="F2119" s="88">
        <v>22364</v>
      </c>
      <c r="G2119" s="125">
        <f t="shared" si="53"/>
        <v>0</v>
      </c>
      <c r="H2119" s="247"/>
    </row>
    <row r="2120" spans="1:8" ht="16.5">
      <c r="A2120" s="3">
        <f>IF(F2120="","",COUNTA($F$1249:F2120))</f>
        <v>806</v>
      </c>
      <c r="B2120" s="54" t="s">
        <v>456</v>
      </c>
      <c r="C2120" s="21" t="s">
        <v>440</v>
      </c>
      <c r="D2120" s="275"/>
      <c r="E2120" s="220">
        <v>33091</v>
      </c>
      <c r="F2120" s="88">
        <v>33091</v>
      </c>
      <c r="G2120" s="125">
        <f t="shared" si="53"/>
        <v>0</v>
      </c>
      <c r="H2120" s="247"/>
    </row>
    <row r="2121" spans="1:8" ht="16.5">
      <c r="A2121" s="3">
        <f>IF(F2121="","",COUNTA($F$1249:F2121))</f>
        <v>807</v>
      </c>
      <c r="B2121" s="54" t="s">
        <v>457</v>
      </c>
      <c r="C2121" s="21" t="s">
        <v>440</v>
      </c>
      <c r="D2121" s="275"/>
      <c r="E2121" s="220">
        <v>16727</v>
      </c>
      <c r="F2121" s="88">
        <v>16727</v>
      </c>
      <c r="G2121" s="125">
        <f t="shared" si="53"/>
        <v>0</v>
      </c>
      <c r="H2121" s="247"/>
    </row>
    <row r="2122" spans="1:8" ht="16.5">
      <c r="A2122" s="3">
        <f>IF(F2122="","",COUNTA($F$1249:F2122))</f>
        <v>808</v>
      </c>
      <c r="B2122" s="54" t="s">
        <v>458</v>
      </c>
      <c r="C2122" s="21" t="s">
        <v>440</v>
      </c>
      <c r="D2122" s="275"/>
      <c r="E2122" s="220">
        <v>18727</v>
      </c>
      <c r="F2122" s="88">
        <v>18727</v>
      </c>
      <c r="G2122" s="125">
        <f t="shared" si="53"/>
        <v>0</v>
      </c>
      <c r="H2122" s="247"/>
    </row>
    <row r="2123" spans="1:8" ht="16.5">
      <c r="A2123" s="3">
        <f>IF(F2123="","",COUNTA($F$1249:F2123))</f>
        <v>809</v>
      </c>
      <c r="B2123" s="54" t="s">
        <v>459</v>
      </c>
      <c r="C2123" s="21" t="s">
        <v>440</v>
      </c>
      <c r="D2123" s="275"/>
      <c r="E2123" s="220">
        <v>22000</v>
      </c>
      <c r="F2123" s="88">
        <v>22000</v>
      </c>
      <c r="G2123" s="125">
        <f t="shared" si="53"/>
        <v>0</v>
      </c>
      <c r="H2123" s="247"/>
    </row>
    <row r="2124" spans="1:8" ht="16.5">
      <c r="A2124" s="3">
        <f>IF(F2124="","",COUNTA($F$1249:F2124))</f>
        <v>810</v>
      </c>
      <c r="B2124" s="54" t="s">
        <v>460</v>
      </c>
      <c r="C2124" s="21" t="s">
        <v>440</v>
      </c>
      <c r="D2124" s="275"/>
      <c r="E2124" s="220">
        <v>25091</v>
      </c>
      <c r="F2124" s="88">
        <v>25091</v>
      </c>
      <c r="G2124" s="125">
        <f t="shared" si="53"/>
        <v>0</v>
      </c>
      <c r="H2124" s="247"/>
    </row>
    <row r="2125" spans="1:8" ht="16.5">
      <c r="A2125" s="3">
        <f>IF(F2125="","",COUNTA($F$1249:F2125))</f>
        <v>811</v>
      </c>
      <c r="B2125" s="54" t="s">
        <v>461</v>
      </c>
      <c r="C2125" s="21" t="s">
        <v>440</v>
      </c>
      <c r="D2125" s="275"/>
      <c r="E2125" s="220">
        <v>29455</v>
      </c>
      <c r="F2125" s="88">
        <v>29455</v>
      </c>
      <c r="G2125" s="125">
        <f t="shared" si="53"/>
        <v>0</v>
      </c>
      <c r="H2125" s="247"/>
    </row>
    <row r="2126" spans="1:8" ht="16.5">
      <c r="A2126" s="3">
        <f>IF(F2126="","",COUNTA($F$1249:F2126))</f>
        <v>812</v>
      </c>
      <c r="B2126" s="54" t="s">
        <v>462</v>
      </c>
      <c r="C2126" s="21" t="s">
        <v>440</v>
      </c>
      <c r="D2126" s="275"/>
      <c r="E2126" s="220">
        <v>36455</v>
      </c>
      <c r="F2126" s="88">
        <v>36455</v>
      </c>
      <c r="G2126" s="125">
        <f t="shared" si="53"/>
        <v>0</v>
      </c>
      <c r="H2126" s="247"/>
    </row>
    <row r="2127" spans="1:8" ht="16.5">
      <c r="A2127" s="3">
        <f>IF(F2127="","",COUNTA($F$1249:F2127))</f>
        <v>813</v>
      </c>
      <c r="B2127" s="54" t="s">
        <v>463</v>
      </c>
      <c r="C2127" s="21" t="s">
        <v>440</v>
      </c>
      <c r="D2127" s="275"/>
      <c r="E2127" s="220">
        <v>49000</v>
      </c>
      <c r="F2127" s="88">
        <v>49000</v>
      </c>
      <c r="G2127" s="125">
        <f t="shared" si="53"/>
        <v>0</v>
      </c>
      <c r="H2127" s="247"/>
    </row>
    <row r="2128" spans="1:8" ht="16.5">
      <c r="A2128" s="3">
        <f>IF(F2128="","",COUNTA($F$1249:F2128))</f>
        <v>814</v>
      </c>
      <c r="B2128" s="54" t="s">
        <v>464</v>
      </c>
      <c r="C2128" s="21" t="s">
        <v>440</v>
      </c>
      <c r="D2128" s="275"/>
      <c r="E2128" s="220">
        <v>19545</v>
      </c>
      <c r="F2128" s="88">
        <v>19545</v>
      </c>
      <c r="G2128" s="125">
        <f t="shared" si="53"/>
        <v>0</v>
      </c>
      <c r="H2128" s="247"/>
    </row>
    <row r="2129" spans="1:8" ht="16.5">
      <c r="A2129" s="3">
        <f>IF(F2129="","",COUNTA($F$1249:F2129))</f>
        <v>815</v>
      </c>
      <c r="B2129" s="54" t="s">
        <v>465</v>
      </c>
      <c r="C2129" s="21" t="s">
        <v>440</v>
      </c>
      <c r="D2129" s="275"/>
      <c r="E2129" s="220">
        <v>22909</v>
      </c>
      <c r="F2129" s="88">
        <v>22909</v>
      </c>
      <c r="G2129" s="125">
        <f t="shared" si="53"/>
        <v>0</v>
      </c>
      <c r="H2129" s="247"/>
    </row>
    <row r="2130" spans="1:8" ht="16.5">
      <c r="A2130" s="3">
        <f>IF(F2130="","",COUNTA($F$1249:F2130))</f>
        <v>816</v>
      </c>
      <c r="B2130" s="54" t="s">
        <v>466</v>
      </c>
      <c r="C2130" s="21" t="s">
        <v>440</v>
      </c>
      <c r="D2130" s="275"/>
      <c r="E2130" s="220">
        <v>26182</v>
      </c>
      <c r="F2130" s="88">
        <v>26182</v>
      </c>
      <c r="G2130" s="125">
        <f t="shared" si="53"/>
        <v>0</v>
      </c>
      <c r="H2130" s="247"/>
    </row>
    <row r="2131" spans="1:8" ht="16.5">
      <c r="A2131" s="3">
        <f>IF(F2131="","",COUNTA($F$1249:F2131))</f>
        <v>817</v>
      </c>
      <c r="B2131" s="54" t="s">
        <v>467</v>
      </c>
      <c r="C2131" s="21" t="s">
        <v>440</v>
      </c>
      <c r="D2131" s="275"/>
      <c r="E2131" s="220">
        <v>30182</v>
      </c>
      <c r="F2131" s="88">
        <v>30182</v>
      </c>
      <c r="G2131" s="125">
        <f t="shared" si="53"/>
        <v>0</v>
      </c>
      <c r="H2131" s="247"/>
    </row>
    <row r="2132" spans="1:8" ht="16.5">
      <c r="A2132" s="3">
        <f>IF(F2132="","",COUNTA($F$1249:F2132))</f>
        <v>818</v>
      </c>
      <c r="B2132" s="54" t="s">
        <v>468</v>
      </c>
      <c r="C2132" s="21" t="s">
        <v>440</v>
      </c>
      <c r="D2132" s="275"/>
      <c r="E2132" s="220">
        <v>36545</v>
      </c>
      <c r="F2132" s="88">
        <v>36545</v>
      </c>
      <c r="G2132" s="125">
        <f t="shared" si="53"/>
        <v>0</v>
      </c>
      <c r="H2132" s="247"/>
    </row>
    <row r="2133" spans="1:8" ht="16.5">
      <c r="A2133" s="3">
        <f>IF(F2133="","",COUNTA($F$1249:F2133))</f>
        <v>819</v>
      </c>
      <c r="B2133" s="54" t="s">
        <v>469</v>
      </c>
      <c r="C2133" s="21" t="s">
        <v>440</v>
      </c>
      <c r="D2133" s="275"/>
      <c r="E2133" s="220">
        <v>45909</v>
      </c>
      <c r="F2133" s="88">
        <v>45909</v>
      </c>
      <c r="G2133" s="125">
        <f t="shared" si="53"/>
        <v>0</v>
      </c>
      <c r="H2133" s="247"/>
    </row>
    <row r="2134" spans="1:8" ht="16.5">
      <c r="A2134" s="3">
        <f>IF(F2134="","",COUNTA($F$1249:F2134))</f>
        <v>820</v>
      </c>
      <c r="B2134" s="54" t="s">
        <v>470</v>
      </c>
      <c r="C2134" s="21" t="s">
        <v>440</v>
      </c>
      <c r="D2134" s="275"/>
      <c r="E2134" s="220">
        <v>65818</v>
      </c>
      <c r="F2134" s="88">
        <v>65818</v>
      </c>
      <c r="G2134" s="125">
        <f t="shared" si="53"/>
        <v>0</v>
      </c>
      <c r="H2134" s="247"/>
    </row>
    <row r="2135" spans="1:8" ht="16.5">
      <c r="A2135" s="3">
        <f>IF(F2135="","",COUNTA($F$1249:F2135))</f>
        <v>821</v>
      </c>
      <c r="B2135" s="54" t="s">
        <v>471</v>
      </c>
      <c r="C2135" s="21" t="s">
        <v>440</v>
      </c>
      <c r="D2135" s="275"/>
      <c r="E2135" s="220">
        <v>25455</v>
      </c>
      <c r="F2135" s="88">
        <v>25455</v>
      </c>
      <c r="G2135" s="125">
        <f t="shared" si="53"/>
        <v>0</v>
      </c>
      <c r="H2135" s="247"/>
    </row>
    <row r="2136" spans="1:8" ht="16.5">
      <c r="A2136" s="3">
        <f>IF(F2136="","",COUNTA($F$1249:F2136))</f>
        <v>822</v>
      </c>
      <c r="B2136" s="54" t="s">
        <v>472</v>
      </c>
      <c r="C2136" s="21" t="s">
        <v>440</v>
      </c>
      <c r="D2136" s="275"/>
      <c r="E2136" s="220">
        <v>30455</v>
      </c>
      <c r="F2136" s="88">
        <v>30455</v>
      </c>
      <c r="G2136" s="125">
        <f t="shared" si="53"/>
        <v>0</v>
      </c>
      <c r="H2136" s="247"/>
    </row>
    <row r="2137" spans="1:8" ht="16.5">
      <c r="A2137" s="3">
        <f>IF(F2137="","",COUNTA($F$1249:F2137))</f>
        <v>823</v>
      </c>
      <c r="B2137" s="54" t="s">
        <v>473</v>
      </c>
      <c r="C2137" s="21" t="s">
        <v>440</v>
      </c>
      <c r="D2137" s="275"/>
      <c r="E2137" s="220">
        <v>37182</v>
      </c>
      <c r="F2137" s="88">
        <v>37182</v>
      </c>
      <c r="G2137" s="125">
        <f t="shared" si="53"/>
        <v>0</v>
      </c>
      <c r="H2137" s="247"/>
    </row>
    <row r="2138" spans="1:8" ht="16.5">
      <c r="A2138" s="3">
        <f>IF(F2138="","",COUNTA($F$1249:F2138))</f>
        <v>824</v>
      </c>
      <c r="B2138" s="54" t="s">
        <v>474</v>
      </c>
      <c r="C2138" s="21" t="s">
        <v>440</v>
      </c>
      <c r="D2138" s="275"/>
      <c r="E2138" s="220">
        <v>43273</v>
      </c>
      <c r="F2138" s="88">
        <v>43273</v>
      </c>
      <c r="G2138" s="125">
        <f t="shared" si="53"/>
        <v>0</v>
      </c>
      <c r="H2138" s="247"/>
    </row>
    <row r="2139" spans="1:8" ht="16.5">
      <c r="A2139" s="3">
        <f>IF(F2139="","",COUNTA($F$1249:F2139))</f>
        <v>825</v>
      </c>
      <c r="B2139" s="54" t="s">
        <v>475</v>
      </c>
      <c r="C2139" s="21" t="s">
        <v>440</v>
      </c>
      <c r="D2139" s="275"/>
      <c r="E2139" s="220">
        <v>52273</v>
      </c>
      <c r="F2139" s="88">
        <v>52273</v>
      </c>
      <c r="G2139" s="125">
        <f t="shared" si="53"/>
        <v>0</v>
      </c>
      <c r="H2139" s="247"/>
    </row>
    <row r="2140" spans="1:8" ht="16.5">
      <c r="A2140" s="3">
        <f>IF(F2140="","",COUNTA($F$1249:F2140))</f>
        <v>826</v>
      </c>
      <c r="B2140" s="54" t="s">
        <v>476</v>
      </c>
      <c r="C2140" s="21" t="s">
        <v>440</v>
      </c>
      <c r="D2140" s="275"/>
      <c r="E2140" s="220">
        <v>65545</v>
      </c>
      <c r="F2140" s="88">
        <v>65545</v>
      </c>
      <c r="G2140" s="125">
        <f t="shared" si="53"/>
        <v>0</v>
      </c>
      <c r="H2140" s="247"/>
    </row>
    <row r="2141" spans="1:8" ht="16.5">
      <c r="A2141" s="3">
        <f>IF(F2141="","",COUNTA($F$1249:F2141))</f>
        <v>827</v>
      </c>
      <c r="B2141" s="54" t="s">
        <v>477</v>
      </c>
      <c r="C2141" s="21" t="s">
        <v>440</v>
      </c>
      <c r="D2141" s="275"/>
      <c r="E2141" s="220">
        <v>78727</v>
      </c>
      <c r="F2141" s="88">
        <v>78727</v>
      </c>
      <c r="G2141" s="125">
        <f t="shared" si="53"/>
        <v>0</v>
      </c>
      <c r="H2141" s="247"/>
    </row>
    <row r="2142" spans="1:8" ht="16.5">
      <c r="A2142" s="3">
        <f>IF(F2142="","",COUNTA($F$1249:F2142))</f>
        <v>828</v>
      </c>
      <c r="B2142" s="54" t="s">
        <v>478</v>
      </c>
      <c r="C2142" s="21" t="s">
        <v>440</v>
      </c>
      <c r="D2142" s="275"/>
      <c r="E2142" s="220">
        <v>115727</v>
      </c>
      <c r="F2142" s="88">
        <v>115727</v>
      </c>
      <c r="G2142" s="125">
        <f t="shared" si="53"/>
        <v>0</v>
      </c>
      <c r="H2142" s="247"/>
    </row>
    <row r="2143" spans="1:8" ht="16.5">
      <c r="A2143" s="3">
        <f>IF(F2143="","",COUNTA($F$1249:F2143))</f>
        <v>829</v>
      </c>
      <c r="B2143" s="54" t="s">
        <v>479</v>
      </c>
      <c r="C2143" s="21" t="s">
        <v>440</v>
      </c>
      <c r="D2143" s="275"/>
      <c r="E2143" s="220">
        <v>30000</v>
      </c>
      <c r="F2143" s="88">
        <v>30000</v>
      </c>
      <c r="G2143" s="125">
        <f t="shared" si="53"/>
        <v>0</v>
      </c>
      <c r="H2143" s="247"/>
    </row>
    <row r="2144" spans="1:8" ht="16.5">
      <c r="A2144" s="3">
        <f>IF(F2144="","",COUNTA($F$1249:F2144))</f>
        <v>830</v>
      </c>
      <c r="B2144" s="54" t="s">
        <v>480</v>
      </c>
      <c r="C2144" s="21" t="s">
        <v>440</v>
      </c>
      <c r="D2144" s="275"/>
      <c r="E2144" s="220">
        <v>35364</v>
      </c>
      <c r="F2144" s="88">
        <v>35364</v>
      </c>
      <c r="G2144" s="125">
        <f t="shared" si="53"/>
        <v>0</v>
      </c>
      <c r="H2144" s="247"/>
    </row>
    <row r="2145" spans="1:8" ht="16.5">
      <c r="A2145" s="3">
        <f>IF(F2145="","",COUNTA($F$1249:F2145))</f>
        <v>831</v>
      </c>
      <c r="B2145" s="54" t="s">
        <v>481</v>
      </c>
      <c r="C2145" s="21" t="s">
        <v>440</v>
      </c>
      <c r="D2145" s="275"/>
      <c r="E2145" s="220">
        <v>44000</v>
      </c>
      <c r="F2145" s="88">
        <v>44000</v>
      </c>
      <c r="G2145" s="125">
        <f t="shared" si="53"/>
        <v>0</v>
      </c>
      <c r="H2145" s="247"/>
    </row>
    <row r="2146" spans="1:8" ht="16.5">
      <c r="A2146" s="3">
        <f>IF(F2146="","",COUNTA($F$1249:F2146))</f>
        <v>832</v>
      </c>
      <c r="B2146" s="54" t="s">
        <v>482</v>
      </c>
      <c r="C2146" s="21" t="s">
        <v>440</v>
      </c>
      <c r="D2146" s="275"/>
      <c r="E2146" s="220">
        <v>55182</v>
      </c>
      <c r="F2146" s="88">
        <v>55182</v>
      </c>
      <c r="G2146" s="125">
        <f t="shared" si="53"/>
        <v>0</v>
      </c>
      <c r="H2146" s="247"/>
    </row>
    <row r="2147" spans="1:8" ht="16.5">
      <c r="A2147" s="3">
        <f>IF(F2147="","",COUNTA($F$1249:F2147))</f>
        <v>833</v>
      </c>
      <c r="B2147" s="54" t="s">
        <v>483</v>
      </c>
      <c r="C2147" s="21" t="s">
        <v>440</v>
      </c>
      <c r="D2147" s="275"/>
      <c r="E2147" s="220">
        <v>68455</v>
      </c>
      <c r="F2147" s="88">
        <v>68455</v>
      </c>
      <c r="G2147" s="125">
        <f t="shared" si="53"/>
        <v>0</v>
      </c>
      <c r="H2147" s="247"/>
    </row>
    <row r="2148" spans="1:8" ht="16.5">
      <c r="A2148" s="3">
        <f>IF(F2148="","",COUNTA($F$1249:F2148))</f>
        <v>834</v>
      </c>
      <c r="B2148" s="54" t="s">
        <v>484</v>
      </c>
      <c r="C2148" s="21" t="s">
        <v>440</v>
      </c>
      <c r="D2148" s="275"/>
      <c r="E2148" s="220">
        <v>83636</v>
      </c>
      <c r="F2148" s="88">
        <v>83636</v>
      </c>
      <c r="G2148" s="125">
        <f t="shared" si="53"/>
        <v>0</v>
      </c>
      <c r="H2148" s="247"/>
    </row>
    <row r="2149" spans="1:8" ht="16.5">
      <c r="A2149" s="3">
        <f>IF(F2149="","",COUNTA($F$1249:F2149))</f>
        <v>835</v>
      </c>
      <c r="B2149" s="54" t="s">
        <v>485</v>
      </c>
      <c r="C2149" s="21" t="s">
        <v>440</v>
      </c>
      <c r="D2149" s="275"/>
      <c r="E2149" s="220">
        <v>35727</v>
      </c>
      <c r="F2149" s="88">
        <v>35727</v>
      </c>
      <c r="G2149" s="125">
        <f t="shared" si="53"/>
        <v>0</v>
      </c>
      <c r="H2149" s="247"/>
    </row>
    <row r="2150" spans="1:8" ht="16.5">
      <c r="A2150" s="3">
        <f>IF(F2150="","",COUNTA($F$1249:F2150))</f>
        <v>836</v>
      </c>
      <c r="B2150" s="54" t="s">
        <v>486</v>
      </c>
      <c r="C2150" s="21" t="s">
        <v>440</v>
      </c>
      <c r="D2150" s="275"/>
      <c r="E2150" s="220">
        <v>41636</v>
      </c>
      <c r="F2150" s="88">
        <v>41636</v>
      </c>
      <c r="G2150" s="125">
        <f t="shared" si="53"/>
        <v>0</v>
      </c>
      <c r="H2150" s="247"/>
    </row>
    <row r="2151" spans="1:8" ht="16.5">
      <c r="A2151" s="3">
        <f>IF(F2151="","",COUNTA($F$1249:F2151))</f>
        <v>837</v>
      </c>
      <c r="B2151" s="54" t="s">
        <v>487</v>
      </c>
      <c r="C2151" s="21" t="s">
        <v>440</v>
      </c>
      <c r="D2151" s="275"/>
      <c r="E2151" s="220">
        <v>47182</v>
      </c>
      <c r="F2151" s="88">
        <v>47182</v>
      </c>
      <c r="G2151" s="125">
        <f t="shared" si="53"/>
        <v>0</v>
      </c>
      <c r="H2151" s="247"/>
    </row>
    <row r="2152" spans="1:8" ht="16.5">
      <c r="A2152" s="3">
        <f>IF(F2152="","",COUNTA($F$1249:F2152))</f>
        <v>838</v>
      </c>
      <c r="B2152" s="54" t="s">
        <v>488</v>
      </c>
      <c r="C2152" s="21" t="s">
        <v>440</v>
      </c>
      <c r="D2152" s="275"/>
      <c r="E2152" s="220">
        <v>61455</v>
      </c>
      <c r="F2152" s="88">
        <v>61455</v>
      </c>
      <c r="G2152" s="125">
        <f t="shared" si="53"/>
        <v>0</v>
      </c>
      <c r="H2152" s="247"/>
    </row>
    <row r="2153" spans="1:8" ht="16.5">
      <c r="A2153" s="3">
        <f>IF(F2153="","",COUNTA($F$1249:F2153))</f>
        <v>839</v>
      </c>
      <c r="B2153" s="54" t="s">
        <v>489</v>
      </c>
      <c r="C2153" s="21" t="s">
        <v>440</v>
      </c>
      <c r="D2153" s="275"/>
      <c r="E2153" s="220">
        <v>76182</v>
      </c>
      <c r="F2153" s="88">
        <v>76182</v>
      </c>
      <c r="G2153" s="125">
        <f t="shared" si="53"/>
        <v>0</v>
      </c>
      <c r="H2153" s="247"/>
    </row>
    <row r="2154" spans="1:8" ht="16.5">
      <c r="A2154" s="3">
        <f>IF(F2154="","",COUNTA($F$1249:F2154))</f>
        <v>840</v>
      </c>
      <c r="B2154" s="54" t="s">
        <v>490</v>
      </c>
      <c r="C2154" s="21" t="s">
        <v>440</v>
      </c>
      <c r="D2154" s="275"/>
      <c r="E2154" s="220">
        <v>95818</v>
      </c>
      <c r="F2154" s="88">
        <v>95818</v>
      </c>
      <c r="G2154" s="125">
        <f t="shared" si="53"/>
        <v>0</v>
      </c>
      <c r="H2154" s="247"/>
    </row>
    <row r="2155" spans="1:8" ht="16.5">
      <c r="A2155" s="3">
        <f>IF(F2155="","",COUNTA($F$1249:F2155))</f>
        <v>841</v>
      </c>
      <c r="B2155" s="54" t="s">
        <v>491</v>
      </c>
      <c r="C2155" s="21" t="s">
        <v>440</v>
      </c>
      <c r="D2155" s="275"/>
      <c r="E2155" s="220">
        <v>115727</v>
      </c>
      <c r="F2155" s="88">
        <v>115727</v>
      </c>
      <c r="G2155" s="125">
        <f t="shared" si="53"/>
        <v>0</v>
      </c>
      <c r="H2155" s="247"/>
    </row>
    <row r="2156" spans="1:8" ht="16.5">
      <c r="A2156" s="3">
        <f>IF(F2156="","",COUNTA($F$1249:F2156))</f>
        <v>842</v>
      </c>
      <c r="B2156" s="54" t="s">
        <v>492</v>
      </c>
      <c r="C2156" s="21" t="s">
        <v>440</v>
      </c>
      <c r="D2156" s="275"/>
      <c r="E2156" s="220">
        <v>167182</v>
      </c>
      <c r="F2156" s="88">
        <v>167182</v>
      </c>
      <c r="G2156" s="125">
        <f t="shared" si="53"/>
        <v>0</v>
      </c>
      <c r="H2156" s="247"/>
    </row>
    <row r="2157" spans="1:8" ht="16.5">
      <c r="A2157" s="3">
        <f>IF(F2157="","",COUNTA($F$1249:F2157))</f>
        <v>843</v>
      </c>
      <c r="B2157" s="54" t="s">
        <v>493</v>
      </c>
      <c r="C2157" s="21" t="s">
        <v>440</v>
      </c>
      <c r="D2157" s="275"/>
      <c r="E2157" s="220">
        <v>43545</v>
      </c>
      <c r="F2157" s="88">
        <v>43545</v>
      </c>
      <c r="G2157" s="125">
        <f t="shared" si="53"/>
        <v>0</v>
      </c>
      <c r="H2157" s="247"/>
    </row>
    <row r="2158" spans="1:8" ht="16.5">
      <c r="A2158" s="3">
        <f>IF(F2158="","",COUNTA($F$1249:F2158))</f>
        <v>844</v>
      </c>
      <c r="B2158" s="54" t="s">
        <v>494</v>
      </c>
      <c r="C2158" s="21" t="s">
        <v>440</v>
      </c>
      <c r="D2158" s="275"/>
      <c r="E2158" s="220">
        <v>49818</v>
      </c>
      <c r="F2158" s="88">
        <v>49818</v>
      </c>
      <c r="G2158" s="125">
        <f t="shared" si="53"/>
        <v>0</v>
      </c>
      <c r="H2158" s="247"/>
    </row>
    <row r="2159" spans="1:8" ht="16.5">
      <c r="A2159" s="3">
        <f>IF(F2159="","",COUNTA($F$1249:F2159))</f>
        <v>845</v>
      </c>
      <c r="B2159" s="54" t="s">
        <v>495</v>
      </c>
      <c r="C2159" s="21" t="s">
        <v>440</v>
      </c>
      <c r="D2159" s="275"/>
      <c r="E2159" s="220">
        <v>58273</v>
      </c>
      <c r="F2159" s="88">
        <v>58273</v>
      </c>
      <c r="G2159" s="125">
        <f t="shared" si="53"/>
        <v>0</v>
      </c>
      <c r="H2159" s="247"/>
    </row>
    <row r="2160" spans="1:8" ht="16.5">
      <c r="A2160" s="3">
        <f>IF(F2160="","",COUNTA($F$1249:F2160))</f>
        <v>846</v>
      </c>
      <c r="B2160" s="54" t="s">
        <v>496</v>
      </c>
      <c r="C2160" s="21" t="s">
        <v>440</v>
      </c>
      <c r="D2160" s="275"/>
      <c r="E2160" s="220">
        <v>67364</v>
      </c>
      <c r="F2160" s="88">
        <v>67364</v>
      </c>
      <c r="G2160" s="125">
        <f t="shared" si="53"/>
        <v>0</v>
      </c>
      <c r="H2160" s="247"/>
    </row>
    <row r="2161" spans="1:8" ht="16.5">
      <c r="A2161" s="3">
        <f>IF(F2161="","",COUNTA($F$1249:F2161))</f>
        <v>847</v>
      </c>
      <c r="B2161" s="54" t="s">
        <v>497</v>
      </c>
      <c r="C2161" s="21" t="s">
        <v>440</v>
      </c>
      <c r="D2161" s="275"/>
      <c r="E2161" s="220">
        <v>88364</v>
      </c>
      <c r="F2161" s="88">
        <v>88364</v>
      </c>
      <c r="G2161" s="125">
        <f t="shared" si="53"/>
        <v>0</v>
      </c>
      <c r="H2161" s="247"/>
    </row>
    <row r="2162" spans="1:8" ht="16.5">
      <c r="A2162" s="3">
        <f>IF(F2162="","",COUNTA($F$1249:F2162))</f>
        <v>848</v>
      </c>
      <c r="B2162" s="54" t="s">
        <v>498</v>
      </c>
      <c r="C2162" s="21" t="s">
        <v>440</v>
      </c>
      <c r="D2162" s="275"/>
      <c r="E2162" s="220">
        <v>109636</v>
      </c>
      <c r="F2162" s="88">
        <v>109636</v>
      </c>
      <c r="G2162" s="125">
        <f t="shared" si="53"/>
        <v>0</v>
      </c>
      <c r="H2162" s="247"/>
    </row>
    <row r="2163" spans="1:8" ht="16.5">
      <c r="A2163" s="3">
        <f>IF(F2163="","",COUNTA($F$1249:F2163))</f>
        <v>849</v>
      </c>
      <c r="B2163" s="54" t="s">
        <v>499</v>
      </c>
      <c r="C2163" s="21" t="s">
        <v>440</v>
      </c>
      <c r="D2163" s="275"/>
      <c r="E2163" s="220">
        <v>136273</v>
      </c>
      <c r="F2163" s="88">
        <v>136273</v>
      </c>
      <c r="G2163" s="125">
        <f t="shared" si="53"/>
        <v>0</v>
      </c>
      <c r="H2163" s="247"/>
    </row>
    <row r="2164" spans="1:8" ht="16.5">
      <c r="A2164" s="3">
        <f>IF(F2164="","",COUNTA($F$1249:F2164))</f>
        <v>850</v>
      </c>
      <c r="B2164" s="54" t="s">
        <v>500</v>
      </c>
      <c r="C2164" s="21" t="s">
        <v>440</v>
      </c>
      <c r="D2164" s="275"/>
      <c r="E2164" s="220">
        <v>164636</v>
      </c>
      <c r="F2164" s="88">
        <v>164636</v>
      </c>
      <c r="G2164" s="125">
        <f t="shared" si="53"/>
        <v>0</v>
      </c>
      <c r="H2164" s="247"/>
    </row>
    <row r="2165" spans="1:8" ht="16.5">
      <c r="A2165" s="3">
        <f>IF(F2165="","",COUNTA($F$1249:F2165))</f>
        <v>851</v>
      </c>
      <c r="B2165" s="54" t="s">
        <v>501</v>
      </c>
      <c r="C2165" s="21" t="s">
        <v>440</v>
      </c>
      <c r="D2165" s="275"/>
      <c r="E2165" s="220">
        <v>237636</v>
      </c>
      <c r="F2165" s="88">
        <v>237636</v>
      </c>
      <c r="G2165" s="125">
        <f t="shared" si="53"/>
        <v>0</v>
      </c>
      <c r="H2165" s="247"/>
    </row>
    <row r="2166" spans="1:8" ht="16.5">
      <c r="A2166" s="3">
        <f>IF(F2166="","",COUNTA($F$1249:F2166))</f>
        <v>852</v>
      </c>
      <c r="B2166" s="54" t="s">
        <v>502</v>
      </c>
      <c r="C2166" s="21" t="s">
        <v>440</v>
      </c>
      <c r="D2166" s="275"/>
      <c r="E2166" s="220">
        <v>65818</v>
      </c>
      <c r="F2166" s="88">
        <v>65818</v>
      </c>
      <c r="G2166" s="125">
        <f t="shared" si="53"/>
        <v>0</v>
      </c>
      <c r="H2166" s="247"/>
    </row>
    <row r="2167" spans="1:8" ht="16.5">
      <c r="A2167" s="3">
        <f>IF(F2167="","",COUNTA($F$1249:F2167))</f>
        <v>853</v>
      </c>
      <c r="B2167" s="54" t="s">
        <v>503</v>
      </c>
      <c r="C2167" s="21" t="s">
        <v>440</v>
      </c>
      <c r="D2167" s="275"/>
      <c r="E2167" s="220">
        <v>74455</v>
      </c>
      <c r="F2167" s="88">
        <v>74455</v>
      </c>
      <c r="G2167" s="125">
        <f t="shared" si="53"/>
        <v>0</v>
      </c>
      <c r="H2167" s="247"/>
    </row>
    <row r="2168" spans="1:8" ht="16.5">
      <c r="A2168" s="3">
        <f>IF(F2168="","",COUNTA($F$1249:F2168))</f>
        <v>854</v>
      </c>
      <c r="B2168" s="54" t="s">
        <v>504</v>
      </c>
      <c r="C2168" s="21" t="s">
        <v>440</v>
      </c>
      <c r="D2168" s="275"/>
      <c r="E2168" s="220">
        <v>86727</v>
      </c>
      <c r="F2168" s="88">
        <v>86727</v>
      </c>
      <c r="G2168" s="125">
        <f aca="true" t="shared" si="54" ref="G2168:G2231">(E2168-F2168)/E2168</f>
        <v>0</v>
      </c>
      <c r="H2168" s="247"/>
    </row>
    <row r="2169" spans="1:8" ht="16.5">
      <c r="A2169" s="3">
        <f>IF(F2169="","",COUNTA($F$1249:F2169))</f>
        <v>855</v>
      </c>
      <c r="B2169" s="54" t="s">
        <v>505</v>
      </c>
      <c r="C2169" s="21" t="s">
        <v>440</v>
      </c>
      <c r="D2169" s="275"/>
      <c r="E2169" s="220">
        <v>98727</v>
      </c>
      <c r="F2169" s="88">
        <v>98727</v>
      </c>
      <c r="G2169" s="125">
        <f t="shared" si="54"/>
        <v>0</v>
      </c>
      <c r="H2169" s="247"/>
    </row>
    <row r="2170" spans="1:8" ht="16.5">
      <c r="A2170" s="3">
        <f>IF(F2170="","",COUNTA($F$1249:F2170))</f>
        <v>856</v>
      </c>
      <c r="B2170" s="54" t="s">
        <v>506</v>
      </c>
      <c r="C2170" s="21" t="s">
        <v>440</v>
      </c>
      <c r="D2170" s="275"/>
      <c r="E2170" s="220">
        <v>138364</v>
      </c>
      <c r="F2170" s="88">
        <v>138364</v>
      </c>
      <c r="G2170" s="125">
        <f t="shared" si="54"/>
        <v>0</v>
      </c>
      <c r="H2170" s="247"/>
    </row>
    <row r="2171" spans="1:8" ht="16.5">
      <c r="A2171" s="3">
        <f>IF(F2171="","",COUNTA($F$1249:F2171))</f>
        <v>857</v>
      </c>
      <c r="B2171" s="54" t="s">
        <v>507</v>
      </c>
      <c r="C2171" s="21" t="s">
        <v>440</v>
      </c>
      <c r="D2171" s="275"/>
      <c r="E2171" s="220">
        <v>165545</v>
      </c>
      <c r="F2171" s="88">
        <v>165545</v>
      </c>
      <c r="G2171" s="125">
        <f t="shared" si="54"/>
        <v>0</v>
      </c>
      <c r="H2171" s="247"/>
    </row>
    <row r="2172" spans="1:8" ht="16.5">
      <c r="A2172" s="3">
        <f>IF(F2172="","",COUNTA($F$1249:F2172))</f>
        <v>858</v>
      </c>
      <c r="B2172" s="54" t="s">
        <v>508</v>
      </c>
      <c r="C2172" s="21" t="s">
        <v>440</v>
      </c>
      <c r="D2172" s="275"/>
      <c r="E2172" s="220">
        <v>204364</v>
      </c>
      <c r="F2172" s="88">
        <v>204364</v>
      </c>
      <c r="G2172" s="125">
        <f t="shared" si="54"/>
        <v>0</v>
      </c>
      <c r="H2172" s="247"/>
    </row>
    <row r="2173" spans="1:8" ht="16.5">
      <c r="A2173" s="3">
        <f>IF(F2173="","",COUNTA($F$1249:F2173))</f>
        <v>859</v>
      </c>
      <c r="B2173" s="54" t="s">
        <v>509</v>
      </c>
      <c r="C2173" s="21" t="s">
        <v>440</v>
      </c>
      <c r="D2173" s="275"/>
      <c r="E2173" s="220">
        <v>247727</v>
      </c>
      <c r="F2173" s="88">
        <v>247727</v>
      </c>
      <c r="G2173" s="125">
        <f t="shared" si="54"/>
        <v>0</v>
      </c>
      <c r="H2173" s="247"/>
    </row>
    <row r="2174" spans="1:8" ht="16.5">
      <c r="A2174" s="3">
        <f>IF(F2174="","",COUNTA($F$1249:F2174))</f>
        <v>860</v>
      </c>
      <c r="B2174" s="54" t="s">
        <v>510</v>
      </c>
      <c r="C2174" s="21" t="s">
        <v>440</v>
      </c>
      <c r="D2174" s="275"/>
      <c r="E2174" s="220">
        <v>352364</v>
      </c>
      <c r="F2174" s="88">
        <v>352364</v>
      </c>
      <c r="G2174" s="125">
        <f t="shared" si="54"/>
        <v>0</v>
      </c>
      <c r="H2174" s="247"/>
    </row>
    <row r="2175" spans="1:8" ht="17.25">
      <c r="A2175" s="3">
        <f>IF(F2175="","",COUNTA($F$1249:F2175))</f>
      </c>
      <c r="B2175" s="31" t="s">
        <v>511</v>
      </c>
      <c r="E2175" s="55"/>
      <c r="F2175" s="55"/>
      <c r="G2175" s="125" t="e">
        <f t="shared" si="54"/>
        <v>#DIV/0!</v>
      </c>
      <c r="H2175" s="247"/>
    </row>
    <row r="2176" spans="1:8" ht="16.5">
      <c r="A2176" s="3">
        <f>IF(F2176="","",COUNTA($F$1249:F2176))</f>
        <v>861</v>
      </c>
      <c r="B2176" s="56" t="s">
        <v>512</v>
      </c>
      <c r="C2176" s="21" t="s">
        <v>440</v>
      </c>
      <c r="D2176" s="247" t="s">
        <v>513</v>
      </c>
      <c r="E2176" s="59">
        <v>13181.81818181818</v>
      </c>
      <c r="F2176" s="59">
        <v>13181.81818181818</v>
      </c>
      <c r="G2176" s="125">
        <f t="shared" si="54"/>
        <v>0</v>
      </c>
      <c r="H2176" s="247"/>
    </row>
    <row r="2177" spans="1:8" ht="16.5">
      <c r="A2177" s="3">
        <f>IF(F2177="","",COUNTA($F$1249:F2177))</f>
        <v>862</v>
      </c>
      <c r="B2177" s="56" t="s">
        <v>514</v>
      </c>
      <c r="C2177" s="21" t="s">
        <v>440</v>
      </c>
      <c r="D2177" s="247"/>
      <c r="E2177" s="59">
        <v>16090.90909090909</v>
      </c>
      <c r="F2177" s="59">
        <v>16090.90909090909</v>
      </c>
      <c r="G2177" s="125">
        <f t="shared" si="54"/>
        <v>0</v>
      </c>
      <c r="H2177" s="247"/>
    </row>
    <row r="2178" spans="1:8" ht="16.5">
      <c r="A2178" s="3">
        <f>IF(F2178="","",COUNTA($F$1249:F2178))</f>
        <v>863</v>
      </c>
      <c r="B2178" s="56" t="s">
        <v>515</v>
      </c>
      <c r="C2178" s="21" t="s">
        <v>440</v>
      </c>
      <c r="D2178" s="247"/>
      <c r="E2178" s="59">
        <v>18818.181818181816</v>
      </c>
      <c r="F2178" s="59">
        <v>18818.181818181816</v>
      </c>
      <c r="G2178" s="125">
        <f t="shared" si="54"/>
        <v>0</v>
      </c>
      <c r="H2178" s="247"/>
    </row>
    <row r="2179" spans="1:8" ht="16.5">
      <c r="A2179" s="3">
        <f>IF(F2179="","",COUNTA($F$1249:F2179))</f>
        <v>864</v>
      </c>
      <c r="B2179" s="56" t="s">
        <v>516</v>
      </c>
      <c r="C2179" s="21" t="s">
        <v>440</v>
      </c>
      <c r="D2179" s="247"/>
      <c r="E2179" s="59">
        <v>22636.363636363636</v>
      </c>
      <c r="F2179" s="59">
        <v>22636.363636363636</v>
      </c>
      <c r="G2179" s="125">
        <f t="shared" si="54"/>
        <v>0</v>
      </c>
      <c r="H2179" s="247"/>
    </row>
    <row r="2180" spans="1:8" ht="16.5">
      <c r="A2180" s="3">
        <f>IF(F2180="","",COUNTA($F$1249:F2180))</f>
        <v>865</v>
      </c>
      <c r="B2180" s="56" t="s">
        <v>517</v>
      </c>
      <c r="C2180" s="21" t="s">
        <v>440</v>
      </c>
      <c r="D2180" s="247"/>
      <c r="E2180" s="59">
        <v>16636.363636363636</v>
      </c>
      <c r="F2180" s="59">
        <v>16636.363636363636</v>
      </c>
      <c r="G2180" s="125">
        <f t="shared" si="54"/>
        <v>0</v>
      </c>
      <c r="H2180" s="247"/>
    </row>
    <row r="2181" spans="1:8" ht="16.5">
      <c r="A2181" s="3">
        <f>IF(F2181="","",COUNTA($F$1249:F2181))</f>
        <v>866</v>
      </c>
      <c r="B2181" s="56" t="s">
        <v>518</v>
      </c>
      <c r="C2181" s="21" t="s">
        <v>440</v>
      </c>
      <c r="D2181" s="247"/>
      <c r="E2181" s="59">
        <v>20090.90909090909</v>
      </c>
      <c r="F2181" s="59">
        <v>20090.90909090909</v>
      </c>
      <c r="G2181" s="125">
        <f t="shared" si="54"/>
        <v>0</v>
      </c>
      <c r="H2181" s="247"/>
    </row>
    <row r="2182" spans="1:8" ht="16.5">
      <c r="A2182" s="3">
        <f>IF(F2182="","",COUNTA($F$1249:F2182))</f>
        <v>867</v>
      </c>
      <c r="B2182" s="56" t="s">
        <v>519</v>
      </c>
      <c r="C2182" s="21" t="s">
        <v>440</v>
      </c>
      <c r="D2182" s="247"/>
      <c r="E2182" s="59">
        <v>24272.727272727272</v>
      </c>
      <c r="F2182" s="59">
        <v>24272.727272727272</v>
      </c>
      <c r="G2182" s="125">
        <f t="shared" si="54"/>
        <v>0</v>
      </c>
      <c r="H2182" s="247"/>
    </row>
    <row r="2183" spans="1:8" ht="16.5">
      <c r="A2183" s="3">
        <f>IF(F2183="","",COUNTA($F$1249:F2183))</f>
        <v>868</v>
      </c>
      <c r="B2183" s="56" t="s">
        <v>520</v>
      </c>
      <c r="C2183" s="21" t="s">
        <v>440</v>
      </c>
      <c r="D2183" s="247"/>
      <c r="E2183" s="59">
        <v>29181.81818181818</v>
      </c>
      <c r="F2183" s="59">
        <v>29181.81818181818</v>
      </c>
      <c r="G2183" s="125">
        <f t="shared" si="54"/>
        <v>0</v>
      </c>
      <c r="H2183" s="247"/>
    </row>
    <row r="2184" spans="1:8" ht="16.5">
      <c r="A2184" s="3">
        <f>IF(F2184="","",COUNTA($F$1249:F2184))</f>
        <v>869</v>
      </c>
      <c r="B2184" s="56" t="s">
        <v>521</v>
      </c>
      <c r="C2184" s="21" t="s">
        <v>440</v>
      </c>
      <c r="D2184" s="247"/>
      <c r="E2184" s="59">
        <v>34636.36363636363</v>
      </c>
      <c r="F2184" s="59">
        <v>34636.36363636363</v>
      </c>
      <c r="G2184" s="125">
        <f t="shared" si="54"/>
        <v>0</v>
      </c>
      <c r="H2184" s="247"/>
    </row>
    <row r="2185" spans="1:8" ht="16.5">
      <c r="A2185" s="3">
        <f>IF(F2185="","",COUNTA($F$1249:F2185))</f>
        <v>870</v>
      </c>
      <c r="B2185" s="56" t="s">
        <v>522</v>
      </c>
      <c r="C2185" s="21" t="s">
        <v>440</v>
      </c>
      <c r="D2185" s="247"/>
      <c r="E2185" s="59">
        <v>25818.181818181816</v>
      </c>
      <c r="F2185" s="59">
        <v>25818.181818181816</v>
      </c>
      <c r="G2185" s="125">
        <f t="shared" si="54"/>
        <v>0</v>
      </c>
      <c r="H2185" s="247"/>
    </row>
    <row r="2186" spans="1:8" ht="16.5">
      <c r="A2186" s="3">
        <f>IF(F2186="","",COUNTA($F$1249:F2186))</f>
        <v>871</v>
      </c>
      <c r="B2186" s="56" t="s">
        <v>523</v>
      </c>
      <c r="C2186" s="21" t="s">
        <v>440</v>
      </c>
      <c r="D2186" s="247"/>
      <c r="E2186" s="59">
        <v>30818.181818181816</v>
      </c>
      <c r="F2186" s="59">
        <v>30818.181818181816</v>
      </c>
      <c r="G2186" s="125">
        <f t="shared" si="54"/>
        <v>0</v>
      </c>
      <c r="H2186" s="247"/>
    </row>
    <row r="2187" spans="1:8" ht="16.5">
      <c r="A2187" s="3">
        <f>IF(F2187="","",COUNTA($F$1249:F2187))</f>
        <v>872</v>
      </c>
      <c r="B2187" s="56" t="s">
        <v>524</v>
      </c>
      <c r="C2187" s="21" t="s">
        <v>440</v>
      </c>
      <c r="D2187" s="247"/>
      <c r="E2187" s="59">
        <v>37090.90909090909</v>
      </c>
      <c r="F2187" s="59">
        <v>37090.90909090909</v>
      </c>
      <c r="G2187" s="125">
        <f t="shared" si="54"/>
        <v>0</v>
      </c>
      <c r="H2187" s="247"/>
    </row>
    <row r="2188" spans="1:8" ht="16.5">
      <c r="A2188" s="3">
        <f>IF(F2188="","",COUNTA($F$1249:F2188))</f>
        <v>873</v>
      </c>
      <c r="B2188" s="56" t="s">
        <v>525</v>
      </c>
      <c r="C2188" s="21" t="s">
        <v>440</v>
      </c>
      <c r="D2188" s="247"/>
      <c r="E2188" s="59">
        <v>45272.72727272727</v>
      </c>
      <c r="F2188" s="59">
        <v>45272.72727272727</v>
      </c>
      <c r="G2188" s="125">
        <f t="shared" si="54"/>
        <v>0</v>
      </c>
      <c r="H2188" s="247"/>
    </row>
    <row r="2189" spans="1:8" ht="16.5">
      <c r="A2189" s="3">
        <f>IF(F2189="","",COUNTA($F$1249:F2189))</f>
        <v>874</v>
      </c>
      <c r="B2189" s="56" t="s">
        <v>526</v>
      </c>
      <c r="C2189" s="21" t="s">
        <v>440</v>
      </c>
      <c r="D2189" s="247"/>
      <c r="E2189" s="59">
        <v>53545.454545454544</v>
      </c>
      <c r="F2189" s="59">
        <v>53545.454545454544</v>
      </c>
      <c r="G2189" s="125">
        <f t="shared" si="54"/>
        <v>0</v>
      </c>
      <c r="H2189" s="247"/>
    </row>
    <row r="2190" spans="1:8" ht="16.5">
      <c r="A2190" s="3">
        <f>IF(F2190="","",COUNTA($F$1249:F2190))</f>
        <v>875</v>
      </c>
      <c r="B2190" s="56" t="s">
        <v>527</v>
      </c>
      <c r="C2190" s="21" t="s">
        <v>440</v>
      </c>
      <c r="D2190" s="247"/>
      <c r="E2190" s="59">
        <v>40090.90909090909</v>
      </c>
      <c r="F2190" s="59">
        <v>40090.90909090909</v>
      </c>
      <c r="G2190" s="125">
        <f t="shared" si="54"/>
        <v>0</v>
      </c>
      <c r="H2190" s="247"/>
    </row>
    <row r="2191" spans="1:8" ht="16.5">
      <c r="A2191" s="3">
        <f>IF(F2191="","",COUNTA($F$1249:F2191))</f>
        <v>876</v>
      </c>
      <c r="B2191" s="56" t="s">
        <v>528</v>
      </c>
      <c r="C2191" s="21" t="s">
        <v>440</v>
      </c>
      <c r="D2191" s="247"/>
      <c r="E2191" s="59">
        <v>49272.72727272727</v>
      </c>
      <c r="F2191" s="59">
        <v>49272.72727272727</v>
      </c>
      <c r="G2191" s="125">
        <f t="shared" si="54"/>
        <v>0</v>
      </c>
      <c r="H2191" s="247"/>
    </row>
    <row r="2192" spans="1:8" ht="16.5">
      <c r="A2192" s="3">
        <f>IF(F2192="","",COUNTA($F$1249:F2192))</f>
        <v>877</v>
      </c>
      <c r="B2192" s="56" t="s">
        <v>529</v>
      </c>
      <c r="C2192" s="21" t="s">
        <v>440</v>
      </c>
      <c r="D2192" s="247"/>
      <c r="E2192" s="59">
        <v>59727.27272727272</v>
      </c>
      <c r="F2192" s="59">
        <v>59727.27272727272</v>
      </c>
      <c r="G2192" s="125">
        <f t="shared" si="54"/>
        <v>0</v>
      </c>
      <c r="H2192" s="247"/>
    </row>
    <row r="2193" spans="1:8" ht="16.5">
      <c r="A2193" s="3">
        <f>IF(F2193="","",COUNTA($F$1249:F2193))</f>
        <v>878</v>
      </c>
      <c r="B2193" s="56" t="s">
        <v>530</v>
      </c>
      <c r="C2193" s="21" t="s">
        <v>440</v>
      </c>
      <c r="D2193" s="247"/>
      <c r="E2193" s="59">
        <v>71181.81818181818</v>
      </c>
      <c r="F2193" s="59">
        <v>71181.81818181818</v>
      </c>
      <c r="G2193" s="125">
        <f t="shared" si="54"/>
        <v>0</v>
      </c>
      <c r="H2193" s="247"/>
    </row>
    <row r="2194" spans="1:8" ht="16.5">
      <c r="A2194" s="3">
        <f>IF(F2194="","",COUNTA($F$1249:F2194))</f>
        <v>879</v>
      </c>
      <c r="B2194" s="56" t="s">
        <v>531</v>
      </c>
      <c r="C2194" s="21" t="s">
        <v>440</v>
      </c>
      <c r="D2194" s="247"/>
      <c r="E2194" s="59">
        <v>85272.72727272726</v>
      </c>
      <c r="F2194" s="59">
        <v>85272.72727272726</v>
      </c>
      <c r="G2194" s="125">
        <f t="shared" si="54"/>
        <v>0</v>
      </c>
      <c r="H2194" s="247"/>
    </row>
    <row r="2195" spans="1:8" ht="16.5">
      <c r="A2195" s="3">
        <f>IF(F2195="","",COUNTA($F$1249:F2195))</f>
        <v>880</v>
      </c>
      <c r="B2195" s="56" t="s">
        <v>532</v>
      </c>
      <c r="C2195" s="21" t="s">
        <v>440</v>
      </c>
      <c r="D2195" s="247"/>
      <c r="E2195" s="59">
        <v>56999.99999999999</v>
      </c>
      <c r="F2195" s="59">
        <v>56999.99999999999</v>
      </c>
      <c r="G2195" s="125">
        <f t="shared" si="54"/>
        <v>0</v>
      </c>
      <c r="H2195" s="247"/>
    </row>
    <row r="2196" spans="1:8" ht="16.5">
      <c r="A2196" s="3">
        <f>IF(F2196="","",COUNTA($F$1249:F2196))</f>
        <v>881</v>
      </c>
      <c r="B2196" s="56" t="s">
        <v>533</v>
      </c>
      <c r="C2196" s="21" t="s">
        <v>440</v>
      </c>
      <c r="D2196" s="247"/>
      <c r="E2196" s="59">
        <v>70272.72727272726</v>
      </c>
      <c r="F2196" s="59">
        <v>70272.72727272726</v>
      </c>
      <c r="G2196" s="125">
        <f t="shared" si="54"/>
        <v>0</v>
      </c>
      <c r="H2196" s="247"/>
    </row>
    <row r="2197" spans="1:8" ht="16.5">
      <c r="A2197" s="3">
        <f>IF(F2197="","",COUNTA($F$1249:F2197))</f>
        <v>882</v>
      </c>
      <c r="B2197" s="56" t="s">
        <v>534</v>
      </c>
      <c r="C2197" s="21" t="s">
        <v>440</v>
      </c>
      <c r="D2197" s="247"/>
      <c r="E2197" s="59">
        <v>84727.27272727272</v>
      </c>
      <c r="F2197" s="59">
        <v>84727.27272727272</v>
      </c>
      <c r="G2197" s="125">
        <f t="shared" si="54"/>
        <v>0</v>
      </c>
      <c r="H2197" s="247"/>
    </row>
    <row r="2198" spans="1:8" ht="16.5">
      <c r="A2198" s="3">
        <f>IF(F2198="","",COUNTA($F$1249:F2198))</f>
        <v>883</v>
      </c>
      <c r="B2198" s="56" t="s">
        <v>535</v>
      </c>
      <c r="C2198" s="21" t="s">
        <v>440</v>
      </c>
      <c r="D2198" s="247"/>
      <c r="E2198" s="59">
        <v>101090.90909090909</v>
      </c>
      <c r="F2198" s="59">
        <v>101090.90909090909</v>
      </c>
      <c r="G2198" s="125">
        <f t="shared" si="54"/>
        <v>0</v>
      </c>
      <c r="H2198" s="247"/>
    </row>
    <row r="2199" spans="1:8" ht="16.5">
      <c r="A2199" s="3">
        <f>IF(F2199="","",COUNTA($F$1249:F2199))</f>
        <v>884</v>
      </c>
      <c r="B2199" s="56" t="s">
        <v>536</v>
      </c>
      <c r="C2199" s="21" t="s">
        <v>440</v>
      </c>
      <c r="D2199" s="247"/>
      <c r="E2199" s="59">
        <v>120727.27272727272</v>
      </c>
      <c r="F2199" s="59">
        <v>120727.27272727272</v>
      </c>
      <c r="G2199" s="125">
        <f t="shared" si="54"/>
        <v>0</v>
      </c>
      <c r="H2199" s="247"/>
    </row>
    <row r="2200" spans="1:8" ht="16.5">
      <c r="A2200" s="3">
        <f>IF(F2200="","",COUNTA($F$1249:F2200))</f>
        <v>885</v>
      </c>
      <c r="B2200" s="56" t="s">
        <v>537</v>
      </c>
      <c r="C2200" s="21" t="s">
        <v>440</v>
      </c>
      <c r="D2200" s="247"/>
      <c r="E2200" s="59">
        <v>90000</v>
      </c>
      <c r="F2200" s="59">
        <v>90000</v>
      </c>
      <c r="G2200" s="125">
        <f t="shared" si="54"/>
        <v>0</v>
      </c>
      <c r="H2200" s="247"/>
    </row>
    <row r="2201" spans="1:8" ht="16.5">
      <c r="A2201" s="3">
        <f>IF(F2201="","",COUNTA($F$1249:F2201))</f>
        <v>886</v>
      </c>
      <c r="B2201" s="56" t="s">
        <v>538</v>
      </c>
      <c r="C2201" s="21" t="s">
        <v>440</v>
      </c>
      <c r="D2201" s="247"/>
      <c r="E2201" s="59">
        <v>99727.27272727272</v>
      </c>
      <c r="F2201" s="59">
        <v>99727.27272727272</v>
      </c>
      <c r="G2201" s="125">
        <f t="shared" si="54"/>
        <v>0</v>
      </c>
      <c r="H2201" s="247"/>
    </row>
    <row r="2202" spans="1:8" ht="16.5">
      <c r="A2202" s="3">
        <f>IF(F2202="","",COUNTA($F$1249:F2202))</f>
        <v>887</v>
      </c>
      <c r="B2202" s="56" t="s">
        <v>539</v>
      </c>
      <c r="C2202" s="21" t="s">
        <v>440</v>
      </c>
      <c r="D2202" s="247"/>
      <c r="E2202" s="59">
        <v>120545.45454545453</v>
      </c>
      <c r="F2202" s="59">
        <v>120545.45454545453</v>
      </c>
      <c r="G2202" s="125">
        <f t="shared" si="54"/>
        <v>0</v>
      </c>
      <c r="H2202" s="247"/>
    </row>
    <row r="2203" spans="1:8" ht="16.5">
      <c r="A2203" s="3">
        <f>IF(F2203="","",COUNTA($F$1249:F2203))</f>
        <v>888</v>
      </c>
      <c r="B2203" s="56" t="s">
        <v>540</v>
      </c>
      <c r="C2203" s="21" t="s">
        <v>440</v>
      </c>
      <c r="D2203" s="247"/>
      <c r="E2203" s="59">
        <v>144727.2727272727</v>
      </c>
      <c r="F2203" s="59">
        <v>144727.2727272727</v>
      </c>
      <c r="G2203" s="125">
        <f t="shared" si="54"/>
        <v>0</v>
      </c>
      <c r="H2203" s="247"/>
    </row>
    <row r="2204" spans="1:8" ht="16.5">
      <c r="A2204" s="3">
        <f>IF(F2204="","",COUNTA($F$1249:F2204))</f>
        <v>889</v>
      </c>
      <c r="B2204" s="56" t="s">
        <v>541</v>
      </c>
      <c r="C2204" s="21" t="s">
        <v>440</v>
      </c>
      <c r="D2204" s="247"/>
      <c r="E2204" s="59">
        <v>173272.72727272726</v>
      </c>
      <c r="F2204" s="59">
        <v>173272.72727272726</v>
      </c>
      <c r="G2204" s="125">
        <f t="shared" si="54"/>
        <v>0</v>
      </c>
      <c r="H2204" s="247"/>
    </row>
    <row r="2205" spans="1:8" ht="16.5">
      <c r="A2205" s="3">
        <f>IF(F2205="","",COUNTA($F$1249:F2205))</f>
        <v>890</v>
      </c>
      <c r="B2205" s="56" t="s">
        <v>542</v>
      </c>
      <c r="C2205" s="21" t="s">
        <v>440</v>
      </c>
      <c r="D2205" s="247"/>
      <c r="E2205" s="59">
        <v>97272.72727272726</v>
      </c>
      <c r="F2205" s="59">
        <v>97272.72727272726</v>
      </c>
      <c r="G2205" s="125">
        <f t="shared" si="54"/>
        <v>0</v>
      </c>
      <c r="H2205" s="247"/>
    </row>
    <row r="2206" spans="1:8" ht="16.5">
      <c r="A2206" s="3">
        <f>IF(F2206="","",COUNTA($F$1249:F2206))</f>
        <v>891</v>
      </c>
      <c r="B2206" s="56" t="s">
        <v>543</v>
      </c>
      <c r="C2206" s="21" t="s">
        <v>440</v>
      </c>
      <c r="D2206" s="247"/>
      <c r="E2206" s="59">
        <v>120818.18181818181</v>
      </c>
      <c r="F2206" s="59">
        <v>120818.18181818181</v>
      </c>
      <c r="G2206" s="125">
        <f t="shared" si="54"/>
        <v>0</v>
      </c>
      <c r="H2206" s="247"/>
    </row>
    <row r="2207" spans="1:8" ht="16.5">
      <c r="A2207" s="3">
        <f>IF(F2207="","",COUNTA($F$1249:F2207))</f>
        <v>892</v>
      </c>
      <c r="B2207" s="56" t="s">
        <v>544</v>
      </c>
      <c r="C2207" s="21" t="s">
        <v>440</v>
      </c>
      <c r="D2207" s="247"/>
      <c r="E2207" s="59">
        <v>151090.9090909091</v>
      </c>
      <c r="F2207" s="59">
        <v>151090.9090909091</v>
      </c>
      <c r="G2207" s="125">
        <f t="shared" si="54"/>
        <v>0</v>
      </c>
      <c r="H2207" s="247"/>
    </row>
    <row r="2208" spans="1:8" ht="16.5">
      <c r="A2208" s="3">
        <f>IF(F2208="","",COUNTA($F$1249:F2208))</f>
        <v>893</v>
      </c>
      <c r="B2208" s="56" t="s">
        <v>545</v>
      </c>
      <c r="C2208" s="21" t="s">
        <v>440</v>
      </c>
      <c r="D2208" s="247"/>
      <c r="E2208" s="59">
        <v>180545.45454545453</v>
      </c>
      <c r="F2208" s="59">
        <v>180545.45454545453</v>
      </c>
      <c r="G2208" s="125">
        <f t="shared" si="54"/>
        <v>0</v>
      </c>
      <c r="H2208" s="247"/>
    </row>
    <row r="2209" spans="1:8" ht="16.5">
      <c r="A2209" s="3">
        <f>IF(F2209="","",COUNTA($F$1249:F2209))</f>
        <v>894</v>
      </c>
      <c r="B2209" s="56" t="s">
        <v>546</v>
      </c>
      <c r="C2209" s="21" t="s">
        <v>440</v>
      </c>
      <c r="D2209" s="247"/>
      <c r="E2209" s="59">
        <v>217999.99999999997</v>
      </c>
      <c r="F2209" s="59">
        <v>217999.99999999997</v>
      </c>
      <c r="G2209" s="125">
        <f t="shared" si="54"/>
        <v>0</v>
      </c>
      <c r="H2209" s="247"/>
    </row>
    <row r="2210" spans="1:8" ht="16.5">
      <c r="A2210" s="3">
        <f>IF(F2210="","",COUNTA($F$1249:F2210))</f>
        <v>895</v>
      </c>
      <c r="B2210" s="56" t="s">
        <v>547</v>
      </c>
      <c r="C2210" s="21" t="s">
        <v>440</v>
      </c>
      <c r="D2210" s="247"/>
      <c r="E2210" s="59">
        <v>262363.63636363635</v>
      </c>
      <c r="F2210" s="59">
        <v>262363.63636363635</v>
      </c>
      <c r="G2210" s="125">
        <f t="shared" si="54"/>
        <v>0</v>
      </c>
      <c r="H2210" s="247"/>
    </row>
    <row r="2211" spans="1:8" ht="16.5">
      <c r="A2211" s="3">
        <f>IF(F2211="","",COUNTA($F$1249:F2211))</f>
        <v>896</v>
      </c>
      <c r="B2211" s="56" t="s">
        <v>548</v>
      </c>
      <c r="C2211" s="21" t="s">
        <v>440</v>
      </c>
      <c r="D2211" s="247"/>
      <c r="E2211" s="59">
        <v>125818.18181818181</v>
      </c>
      <c r="F2211" s="59">
        <v>125818.18181818181</v>
      </c>
      <c r="G2211" s="125">
        <f t="shared" si="54"/>
        <v>0</v>
      </c>
      <c r="H2211" s="247"/>
    </row>
    <row r="2212" spans="1:8" ht="16.5">
      <c r="A2212" s="3">
        <f>IF(F2212="","",COUNTA($F$1249:F2212))</f>
        <v>897</v>
      </c>
      <c r="B2212" s="56" t="s">
        <v>549</v>
      </c>
      <c r="C2212" s="21" t="s">
        <v>440</v>
      </c>
      <c r="D2212" s="247"/>
      <c r="E2212" s="59">
        <v>156000</v>
      </c>
      <c r="F2212" s="59">
        <v>156000</v>
      </c>
      <c r="G2212" s="125">
        <f t="shared" si="54"/>
        <v>0</v>
      </c>
      <c r="H2212" s="247"/>
    </row>
    <row r="2213" spans="1:8" ht="16.5">
      <c r="A2213" s="3">
        <f>IF(F2213="","",COUNTA($F$1249:F2213))</f>
        <v>898</v>
      </c>
      <c r="B2213" s="56" t="s">
        <v>550</v>
      </c>
      <c r="C2213" s="21" t="s">
        <v>440</v>
      </c>
      <c r="D2213" s="247"/>
      <c r="E2213" s="59">
        <v>190727.2727272727</v>
      </c>
      <c r="F2213" s="59">
        <v>190727.2727272727</v>
      </c>
      <c r="G2213" s="125">
        <f t="shared" si="54"/>
        <v>0</v>
      </c>
      <c r="H2213" s="247"/>
    </row>
    <row r="2214" spans="1:8" ht="16.5">
      <c r="A2214" s="3">
        <f>IF(F2214="","",COUNTA($F$1249:F2214))</f>
        <v>899</v>
      </c>
      <c r="B2214" s="56" t="s">
        <v>551</v>
      </c>
      <c r="C2214" s="21" t="s">
        <v>440</v>
      </c>
      <c r="D2214" s="247"/>
      <c r="E2214" s="59">
        <v>232454.54545454544</v>
      </c>
      <c r="F2214" s="59">
        <v>232454.54545454544</v>
      </c>
      <c r="G2214" s="125">
        <f t="shared" si="54"/>
        <v>0</v>
      </c>
      <c r="H2214" s="247"/>
    </row>
    <row r="2215" spans="1:8" ht="16.5">
      <c r="A2215" s="3">
        <f>IF(F2215="","",COUNTA($F$1249:F2215))</f>
        <v>900</v>
      </c>
      <c r="B2215" s="56" t="s">
        <v>552</v>
      </c>
      <c r="C2215" s="21" t="s">
        <v>440</v>
      </c>
      <c r="D2215" s="247"/>
      <c r="E2215" s="59">
        <v>282000</v>
      </c>
      <c r="F2215" s="59">
        <v>282000</v>
      </c>
      <c r="G2215" s="125">
        <f t="shared" si="54"/>
        <v>0</v>
      </c>
      <c r="H2215" s="247"/>
    </row>
    <row r="2216" spans="1:8" ht="16.5">
      <c r="A2216" s="3">
        <f>IF(F2216="","",COUNTA($F$1249:F2216))</f>
        <v>901</v>
      </c>
      <c r="B2216" s="56" t="s">
        <v>553</v>
      </c>
      <c r="C2216" s="21" t="s">
        <v>440</v>
      </c>
      <c r="D2216" s="247"/>
      <c r="E2216" s="59">
        <v>336272.72727272724</v>
      </c>
      <c r="F2216" s="59">
        <v>336272.72727272724</v>
      </c>
      <c r="G2216" s="125">
        <f t="shared" si="54"/>
        <v>0</v>
      </c>
      <c r="H2216" s="247"/>
    </row>
    <row r="2217" spans="1:8" ht="16.5">
      <c r="A2217" s="3">
        <f>IF(F2217="","",COUNTA($F$1249:F2217))</f>
        <v>902</v>
      </c>
      <c r="B2217" s="56" t="s">
        <v>554</v>
      </c>
      <c r="C2217" s="21" t="s">
        <v>440</v>
      </c>
      <c r="D2217" s="247"/>
      <c r="E2217" s="59">
        <v>157909.09090909088</v>
      </c>
      <c r="F2217" s="59">
        <v>157909.09090909088</v>
      </c>
      <c r="G2217" s="125">
        <f t="shared" si="54"/>
        <v>0</v>
      </c>
      <c r="H2217" s="247"/>
    </row>
    <row r="2218" spans="1:8" ht="16.5">
      <c r="A2218" s="3">
        <f>IF(F2218="","",COUNTA($F$1249:F2218))</f>
        <v>903</v>
      </c>
      <c r="B2218" s="56" t="s">
        <v>555</v>
      </c>
      <c r="C2218" s="21" t="s">
        <v>440</v>
      </c>
      <c r="D2218" s="247"/>
      <c r="E2218" s="59">
        <v>194272.72727272726</v>
      </c>
      <c r="F2218" s="59">
        <v>194272.72727272726</v>
      </c>
      <c r="G2218" s="125">
        <f t="shared" si="54"/>
        <v>0</v>
      </c>
      <c r="H2218" s="247"/>
    </row>
    <row r="2219" spans="1:8" ht="16.5">
      <c r="A2219" s="3">
        <f>IF(F2219="","",COUNTA($F$1249:F2219))</f>
        <v>904</v>
      </c>
      <c r="B2219" s="56" t="s">
        <v>556</v>
      </c>
      <c r="C2219" s="21" t="s">
        <v>440</v>
      </c>
      <c r="D2219" s="247"/>
      <c r="E2219" s="59">
        <v>238090.90909090906</v>
      </c>
      <c r="F2219" s="59">
        <v>238090.90909090906</v>
      </c>
      <c r="G2219" s="125">
        <f t="shared" si="54"/>
        <v>0</v>
      </c>
      <c r="H2219" s="247"/>
    </row>
    <row r="2220" spans="1:8" ht="16.5">
      <c r="A2220" s="3">
        <f>IF(F2220="","",COUNTA($F$1249:F2220))</f>
        <v>905</v>
      </c>
      <c r="B2220" s="56" t="s">
        <v>557</v>
      </c>
      <c r="C2220" s="21" t="s">
        <v>440</v>
      </c>
      <c r="D2220" s="247"/>
      <c r="E2220" s="59">
        <v>288363.63636363635</v>
      </c>
      <c r="F2220" s="59">
        <v>288363.63636363635</v>
      </c>
      <c r="G2220" s="125">
        <f t="shared" si="54"/>
        <v>0</v>
      </c>
      <c r="H2220" s="247"/>
    </row>
    <row r="2221" spans="1:8" ht="16.5">
      <c r="A2221" s="3">
        <f>IF(F2221="","",COUNTA($F$1249:F2221))</f>
        <v>906</v>
      </c>
      <c r="B2221" s="56" t="s">
        <v>558</v>
      </c>
      <c r="C2221" s="21" t="s">
        <v>440</v>
      </c>
      <c r="D2221" s="247"/>
      <c r="E2221" s="59">
        <v>349636.3636363636</v>
      </c>
      <c r="F2221" s="59">
        <v>349636.3636363636</v>
      </c>
      <c r="G2221" s="125">
        <f t="shared" si="54"/>
        <v>0</v>
      </c>
      <c r="H2221" s="247"/>
    </row>
    <row r="2222" spans="1:8" ht="16.5">
      <c r="A2222" s="3">
        <f>IF(F2222="","",COUNTA($F$1249:F2222))</f>
        <v>907</v>
      </c>
      <c r="B2222" s="56" t="s">
        <v>559</v>
      </c>
      <c r="C2222" s="21" t="s">
        <v>440</v>
      </c>
      <c r="D2222" s="247"/>
      <c r="E2222" s="59">
        <v>420545.45454545453</v>
      </c>
      <c r="F2222" s="59">
        <v>420545.45454545453</v>
      </c>
      <c r="G2222" s="125">
        <f t="shared" si="54"/>
        <v>0</v>
      </c>
      <c r="H2222" s="247"/>
    </row>
    <row r="2223" spans="1:8" ht="16.5">
      <c r="A2223" s="3">
        <f>IF(F2223="","",COUNTA($F$1249:F2223))</f>
        <v>908</v>
      </c>
      <c r="B2223" s="56" t="s">
        <v>560</v>
      </c>
      <c r="C2223" s="21" t="s">
        <v>440</v>
      </c>
      <c r="D2223" s="247"/>
      <c r="E2223" s="59">
        <v>206909.09090909088</v>
      </c>
      <c r="F2223" s="59">
        <v>206909.09090909088</v>
      </c>
      <c r="G2223" s="125">
        <f t="shared" si="54"/>
        <v>0</v>
      </c>
      <c r="H2223" s="247"/>
    </row>
    <row r="2224" spans="1:8" ht="16.5">
      <c r="A2224" s="3">
        <f>IF(F2224="","",COUNTA($F$1249:F2224))</f>
        <v>909</v>
      </c>
      <c r="B2224" s="56" t="s">
        <v>561</v>
      </c>
      <c r="C2224" s="21" t="s">
        <v>440</v>
      </c>
      <c r="D2224" s="247"/>
      <c r="E2224" s="59">
        <v>255090.90909090906</v>
      </c>
      <c r="F2224" s="59">
        <v>255090.90909090906</v>
      </c>
      <c r="G2224" s="125">
        <f t="shared" si="54"/>
        <v>0</v>
      </c>
      <c r="H2224" s="247"/>
    </row>
    <row r="2225" spans="1:8" ht="16.5">
      <c r="A2225" s="3">
        <f>IF(F2225="","",COUNTA($F$1249:F2225))</f>
        <v>910</v>
      </c>
      <c r="B2225" s="56" t="s">
        <v>562</v>
      </c>
      <c r="C2225" s="21" t="s">
        <v>440</v>
      </c>
      <c r="D2225" s="247"/>
      <c r="E2225" s="59">
        <v>312909.0909090909</v>
      </c>
      <c r="F2225" s="59">
        <v>312909.0909090909</v>
      </c>
      <c r="G2225" s="125">
        <f t="shared" si="54"/>
        <v>0</v>
      </c>
      <c r="H2225" s="247"/>
    </row>
    <row r="2226" spans="1:8" ht="16.5">
      <c r="A2226" s="3">
        <f>IF(F2226="","",COUNTA($F$1249:F2226))</f>
        <v>911</v>
      </c>
      <c r="B2226" s="56" t="s">
        <v>563</v>
      </c>
      <c r="C2226" s="21" t="s">
        <v>440</v>
      </c>
      <c r="D2226" s="247"/>
      <c r="E2226" s="59">
        <v>376272.72727272724</v>
      </c>
      <c r="F2226" s="59">
        <v>376272.72727272724</v>
      </c>
      <c r="G2226" s="125">
        <f t="shared" si="54"/>
        <v>0</v>
      </c>
      <c r="H2226" s="247"/>
    </row>
    <row r="2227" spans="1:8" ht="16.5">
      <c r="A2227" s="3">
        <f>IF(F2227="","",COUNTA($F$1249:F2227))</f>
        <v>912</v>
      </c>
      <c r="B2227" s="56" t="s">
        <v>564</v>
      </c>
      <c r="C2227" s="21" t="s">
        <v>440</v>
      </c>
      <c r="D2227" s="247"/>
      <c r="E2227" s="59">
        <v>462363.63636363635</v>
      </c>
      <c r="F2227" s="59">
        <v>462363.63636363635</v>
      </c>
      <c r="G2227" s="125">
        <f t="shared" si="54"/>
        <v>0</v>
      </c>
      <c r="H2227" s="247"/>
    </row>
    <row r="2228" spans="1:8" ht="16.5">
      <c r="A2228" s="3">
        <f>IF(F2228="","",COUNTA($F$1249:F2228))</f>
        <v>913</v>
      </c>
      <c r="B2228" s="56" t="s">
        <v>565</v>
      </c>
      <c r="C2228" s="21" t="s">
        <v>440</v>
      </c>
      <c r="D2228" s="247"/>
      <c r="E2228" s="59">
        <v>551636.3636363636</v>
      </c>
      <c r="F2228" s="59">
        <v>551636.3636363636</v>
      </c>
      <c r="G2228" s="125">
        <f t="shared" si="54"/>
        <v>0</v>
      </c>
      <c r="H2228" s="247"/>
    </row>
    <row r="2229" spans="1:8" ht="16.5">
      <c r="A2229" s="3">
        <f>IF(F2229="","",COUNTA($F$1249:F2229))</f>
        <v>914</v>
      </c>
      <c r="B2229" s="56" t="s">
        <v>566</v>
      </c>
      <c r="C2229" s="21" t="s">
        <v>440</v>
      </c>
      <c r="D2229" s="247"/>
      <c r="E2229" s="59">
        <v>258545.45454545453</v>
      </c>
      <c r="F2229" s="59">
        <v>258545.45454545453</v>
      </c>
      <c r="G2229" s="125">
        <f t="shared" si="54"/>
        <v>0</v>
      </c>
      <c r="H2229" s="247"/>
    </row>
    <row r="2230" spans="1:8" ht="16.5">
      <c r="A2230" s="3">
        <f>IF(F2230="","",COUNTA($F$1249:F2230))</f>
        <v>915</v>
      </c>
      <c r="B2230" s="56" t="s">
        <v>567</v>
      </c>
      <c r="C2230" s="21" t="s">
        <v>440</v>
      </c>
      <c r="D2230" s="247"/>
      <c r="E2230" s="59">
        <v>321181.8181818182</v>
      </c>
      <c r="F2230" s="59">
        <v>321181.8181818182</v>
      </c>
      <c r="G2230" s="125">
        <f t="shared" si="54"/>
        <v>0</v>
      </c>
      <c r="H2230" s="247"/>
    </row>
    <row r="2231" spans="1:8" ht="16.5">
      <c r="A2231" s="3">
        <f>IF(F2231="","",COUNTA($F$1249:F2231))</f>
        <v>916</v>
      </c>
      <c r="B2231" s="56" t="s">
        <v>568</v>
      </c>
      <c r="C2231" s="21" t="s">
        <v>440</v>
      </c>
      <c r="D2231" s="247"/>
      <c r="E2231" s="59">
        <v>393909.0909090909</v>
      </c>
      <c r="F2231" s="59">
        <v>393909.0909090909</v>
      </c>
      <c r="G2231" s="125">
        <f t="shared" si="54"/>
        <v>0</v>
      </c>
      <c r="H2231" s="247"/>
    </row>
    <row r="2232" spans="1:8" ht="16.5">
      <c r="A2232" s="3">
        <f>IF(F2232="","",COUNTA($F$1249:F2232))</f>
        <v>917</v>
      </c>
      <c r="B2232" s="56" t="s">
        <v>569</v>
      </c>
      <c r="C2232" s="21" t="s">
        <v>440</v>
      </c>
      <c r="D2232" s="247"/>
      <c r="E2232" s="59">
        <v>479727.2727272727</v>
      </c>
      <c r="F2232" s="59">
        <v>479727.2727272727</v>
      </c>
      <c r="G2232" s="125">
        <f aca="true" t="shared" si="55" ref="G2232:G2295">(E2232-F2232)/E2232</f>
        <v>0</v>
      </c>
      <c r="H2232" s="247"/>
    </row>
    <row r="2233" spans="1:8" ht="16.5">
      <c r="A2233" s="3">
        <f>IF(F2233="","",COUNTA($F$1249:F2233))</f>
        <v>918</v>
      </c>
      <c r="B2233" s="56" t="s">
        <v>570</v>
      </c>
      <c r="C2233" s="21" t="s">
        <v>440</v>
      </c>
      <c r="D2233" s="247"/>
      <c r="E2233" s="59">
        <v>581636.3636363636</v>
      </c>
      <c r="F2233" s="59">
        <v>581636.3636363636</v>
      </c>
      <c r="G2233" s="125">
        <f t="shared" si="55"/>
        <v>0</v>
      </c>
      <c r="H2233" s="247"/>
    </row>
    <row r="2234" spans="1:8" ht="16.5">
      <c r="A2234" s="3">
        <f>IF(F2234="","",COUNTA($F$1249:F2234))</f>
        <v>919</v>
      </c>
      <c r="B2234" s="56" t="s">
        <v>571</v>
      </c>
      <c r="C2234" s="21" t="s">
        <v>440</v>
      </c>
      <c r="D2234" s="247"/>
      <c r="E2234" s="59">
        <v>697454.5454545454</v>
      </c>
      <c r="F2234" s="59">
        <v>697454.5454545454</v>
      </c>
      <c r="G2234" s="125">
        <f t="shared" si="55"/>
        <v>0</v>
      </c>
      <c r="H2234" s="247"/>
    </row>
    <row r="2235" spans="1:8" ht="16.5">
      <c r="A2235" s="3">
        <f>IF(F2235="","",COUNTA($F$1249:F2235))</f>
        <v>920</v>
      </c>
      <c r="B2235" s="56" t="s">
        <v>572</v>
      </c>
      <c r="C2235" s="21" t="s">
        <v>440</v>
      </c>
      <c r="D2235" s="247"/>
      <c r="E2235" s="59">
        <v>321090.90909090906</v>
      </c>
      <c r="F2235" s="59">
        <v>321090.90909090906</v>
      </c>
      <c r="G2235" s="125">
        <f t="shared" si="55"/>
        <v>0</v>
      </c>
      <c r="H2235" s="247"/>
    </row>
    <row r="2236" spans="1:8" ht="16.5">
      <c r="A2236" s="3">
        <f>IF(F2236="","",COUNTA($F$1249:F2236))</f>
        <v>921</v>
      </c>
      <c r="B2236" s="56" t="s">
        <v>573</v>
      </c>
      <c r="C2236" s="21" t="s">
        <v>440</v>
      </c>
      <c r="D2236" s="247"/>
      <c r="E2236" s="59">
        <v>400090.90909090906</v>
      </c>
      <c r="F2236" s="59">
        <v>400090.90909090906</v>
      </c>
      <c r="G2236" s="125">
        <f t="shared" si="55"/>
        <v>0</v>
      </c>
      <c r="H2236" s="247"/>
    </row>
    <row r="2237" spans="1:8" ht="16.5">
      <c r="A2237" s="3">
        <f>IF(F2237="","",COUNTA($F$1249:F2237))</f>
        <v>922</v>
      </c>
      <c r="B2237" s="56" t="s">
        <v>574</v>
      </c>
      <c r="C2237" s="21" t="s">
        <v>440</v>
      </c>
      <c r="D2237" s="247"/>
      <c r="E2237" s="59">
        <v>493636.3636363636</v>
      </c>
      <c r="F2237" s="59">
        <v>493636.3636363636</v>
      </c>
      <c r="G2237" s="125">
        <f t="shared" si="55"/>
        <v>0</v>
      </c>
      <c r="H2237" s="247"/>
    </row>
    <row r="2238" spans="1:8" ht="16.5">
      <c r="A2238" s="3">
        <f>IF(F2238="","",COUNTA($F$1249:F2238))</f>
        <v>923</v>
      </c>
      <c r="B2238" s="56" t="s">
        <v>575</v>
      </c>
      <c r="C2238" s="21" t="s">
        <v>440</v>
      </c>
      <c r="D2238" s="247"/>
      <c r="E2238" s="59">
        <v>587818.1818181818</v>
      </c>
      <c r="F2238" s="59">
        <v>587818.1818181818</v>
      </c>
      <c r="G2238" s="125">
        <f t="shared" si="55"/>
        <v>0</v>
      </c>
      <c r="H2238" s="247"/>
    </row>
    <row r="2239" spans="1:8" ht="16.5">
      <c r="A2239" s="3">
        <f>IF(F2239="","",COUNTA($F$1249:F2239))</f>
        <v>924</v>
      </c>
      <c r="B2239" s="56" t="s">
        <v>576</v>
      </c>
      <c r="C2239" s="21" t="s">
        <v>440</v>
      </c>
      <c r="D2239" s="247"/>
      <c r="E2239" s="59">
        <v>727727.2727272727</v>
      </c>
      <c r="F2239" s="59">
        <v>727727.2727272727</v>
      </c>
      <c r="G2239" s="125">
        <f t="shared" si="55"/>
        <v>0</v>
      </c>
      <c r="H2239" s="247"/>
    </row>
    <row r="2240" spans="1:8" ht="16.5">
      <c r="A2240" s="3">
        <f>IF(F2240="","",COUNTA($F$1249:F2240))</f>
        <v>925</v>
      </c>
      <c r="B2240" s="56" t="s">
        <v>577</v>
      </c>
      <c r="C2240" s="21" t="s">
        <v>440</v>
      </c>
      <c r="D2240" s="247"/>
      <c r="E2240" s="59">
        <v>867727.2727272727</v>
      </c>
      <c r="F2240" s="59">
        <v>867727.2727272727</v>
      </c>
      <c r="G2240" s="125">
        <f t="shared" si="55"/>
        <v>0</v>
      </c>
      <c r="H2240" s="247"/>
    </row>
    <row r="2241" spans="1:8" ht="16.5">
      <c r="A2241" s="3">
        <f>IF(F2241="","",COUNTA($F$1249:F2241))</f>
        <v>926</v>
      </c>
      <c r="B2241" s="56" t="s">
        <v>578</v>
      </c>
      <c r="C2241" s="21" t="s">
        <v>440</v>
      </c>
      <c r="D2241" s="247"/>
      <c r="E2241" s="59">
        <v>402818.18181818177</v>
      </c>
      <c r="F2241" s="59">
        <v>402818.18181818177</v>
      </c>
      <c r="G2241" s="125">
        <f t="shared" si="55"/>
        <v>0</v>
      </c>
      <c r="H2241" s="247"/>
    </row>
    <row r="2242" spans="1:8" ht="16.5">
      <c r="A2242" s="3">
        <f>IF(F2242="","",COUNTA($F$1249:F2242))</f>
        <v>927</v>
      </c>
      <c r="B2242" s="56" t="s">
        <v>579</v>
      </c>
      <c r="C2242" s="21" t="s">
        <v>440</v>
      </c>
      <c r="D2242" s="247"/>
      <c r="E2242" s="59">
        <v>503818.18181818177</v>
      </c>
      <c r="F2242" s="59">
        <v>503818.18181818177</v>
      </c>
      <c r="G2242" s="125">
        <f t="shared" si="55"/>
        <v>0</v>
      </c>
      <c r="H2242" s="247"/>
    </row>
    <row r="2243" spans="1:8" ht="16.5">
      <c r="A2243" s="3">
        <f>IF(F2243="","",COUNTA($F$1249:F2243))</f>
        <v>928</v>
      </c>
      <c r="B2243" s="56" t="s">
        <v>580</v>
      </c>
      <c r="C2243" s="21" t="s">
        <v>440</v>
      </c>
      <c r="D2243" s="247"/>
      <c r="E2243" s="59">
        <v>606727.2727272727</v>
      </c>
      <c r="F2243" s="59">
        <v>606727.2727272727</v>
      </c>
      <c r="G2243" s="125">
        <f t="shared" si="55"/>
        <v>0</v>
      </c>
      <c r="H2243" s="247"/>
    </row>
    <row r="2244" spans="1:8" ht="16.5">
      <c r="A2244" s="3">
        <f>IF(F2244="","",COUNTA($F$1249:F2244))</f>
        <v>929</v>
      </c>
      <c r="B2244" s="56" t="s">
        <v>581</v>
      </c>
      <c r="C2244" s="21" t="s">
        <v>440</v>
      </c>
      <c r="D2244" s="247"/>
      <c r="E2244" s="59">
        <v>743090.9090909091</v>
      </c>
      <c r="F2244" s="59">
        <v>743090.9090909091</v>
      </c>
      <c r="G2244" s="125">
        <f t="shared" si="55"/>
        <v>0</v>
      </c>
      <c r="H2244" s="247"/>
    </row>
    <row r="2245" spans="1:8" ht="16.5">
      <c r="A2245" s="3">
        <f>IF(F2245="","",COUNTA($F$1249:F2245))</f>
        <v>930</v>
      </c>
      <c r="B2245" s="56" t="s">
        <v>582</v>
      </c>
      <c r="C2245" s="21" t="s">
        <v>440</v>
      </c>
      <c r="D2245" s="247"/>
      <c r="E2245" s="59">
        <v>889727.2727272727</v>
      </c>
      <c r="F2245" s="59">
        <v>889727.2727272727</v>
      </c>
      <c r="G2245" s="125">
        <f t="shared" si="55"/>
        <v>0</v>
      </c>
      <c r="H2245" s="247"/>
    </row>
    <row r="2246" spans="1:8" ht="16.5">
      <c r="A2246" s="3">
        <f>IF(F2246="","",COUNTA($F$1249:F2246))</f>
        <v>931</v>
      </c>
      <c r="B2246" s="56" t="s">
        <v>583</v>
      </c>
      <c r="C2246" s="21" t="s">
        <v>440</v>
      </c>
      <c r="D2246" s="247"/>
      <c r="E2246" s="59">
        <v>1073181.8181818181</v>
      </c>
      <c r="F2246" s="59">
        <v>1073181.8181818181</v>
      </c>
      <c r="G2246" s="125">
        <f t="shared" si="55"/>
        <v>0</v>
      </c>
      <c r="H2246" s="247"/>
    </row>
    <row r="2247" spans="1:8" ht="16.5">
      <c r="A2247" s="3">
        <f>IF(F2247="","",COUNTA($F$1249:F2247))</f>
        <v>932</v>
      </c>
      <c r="B2247" s="56" t="s">
        <v>584</v>
      </c>
      <c r="C2247" s="21" t="s">
        <v>440</v>
      </c>
      <c r="D2247" s="247"/>
      <c r="E2247" s="59">
        <v>498999.99999999994</v>
      </c>
      <c r="F2247" s="59">
        <v>498999.99999999994</v>
      </c>
      <c r="G2247" s="125">
        <f t="shared" si="55"/>
        <v>0</v>
      </c>
      <c r="H2247" s="247"/>
    </row>
    <row r="2248" spans="1:8" ht="16.5">
      <c r="A2248" s="3">
        <f>IF(F2248="","",COUNTA($F$1249:F2248))</f>
        <v>933</v>
      </c>
      <c r="B2248" s="56" t="s">
        <v>585</v>
      </c>
      <c r="C2248" s="21" t="s">
        <v>440</v>
      </c>
      <c r="D2248" s="247"/>
      <c r="E2248" s="59">
        <v>614818.1818181818</v>
      </c>
      <c r="F2248" s="59">
        <v>614818.1818181818</v>
      </c>
      <c r="G2248" s="125">
        <f t="shared" si="55"/>
        <v>0</v>
      </c>
      <c r="H2248" s="247"/>
    </row>
    <row r="2249" spans="1:8" ht="16.5">
      <c r="A2249" s="3">
        <f>IF(F2249="","",COUNTA($F$1249:F2249))</f>
        <v>934</v>
      </c>
      <c r="B2249" s="56" t="s">
        <v>586</v>
      </c>
      <c r="C2249" s="21" t="s">
        <v>440</v>
      </c>
      <c r="D2249" s="247"/>
      <c r="E2249" s="59">
        <v>751727.2727272727</v>
      </c>
      <c r="F2249" s="59">
        <v>751727.2727272727</v>
      </c>
      <c r="G2249" s="125">
        <f t="shared" si="55"/>
        <v>0</v>
      </c>
      <c r="H2249" s="247"/>
    </row>
    <row r="2250" spans="1:8" ht="16.5">
      <c r="A2250" s="3">
        <f>IF(F2250="","",COUNTA($F$1249:F2250))</f>
        <v>935</v>
      </c>
      <c r="B2250" s="56" t="s">
        <v>587</v>
      </c>
      <c r="C2250" s="21" t="s">
        <v>440</v>
      </c>
      <c r="D2250" s="247"/>
      <c r="E2250" s="59">
        <v>923909.0909090908</v>
      </c>
      <c r="F2250" s="59">
        <v>923909.0909090908</v>
      </c>
      <c r="G2250" s="125">
        <f t="shared" si="55"/>
        <v>0</v>
      </c>
      <c r="H2250" s="247"/>
    </row>
    <row r="2251" spans="1:8" ht="16.5">
      <c r="A2251" s="3">
        <f>IF(F2251="","",COUNTA($F$1249:F2251))</f>
        <v>936</v>
      </c>
      <c r="B2251" s="56" t="s">
        <v>588</v>
      </c>
      <c r="C2251" s="21" t="s">
        <v>440</v>
      </c>
      <c r="D2251" s="247"/>
      <c r="E2251" s="59">
        <v>1106909.0909090908</v>
      </c>
      <c r="F2251" s="59">
        <v>1106909.0909090908</v>
      </c>
      <c r="G2251" s="125">
        <f t="shared" si="55"/>
        <v>0</v>
      </c>
      <c r="H2251" s="247"/>
    </row>
    <row r="2252" spans="1:8" ht="16.5">
      <c r="A2252" s="3">
        <f>IF(F2252="","",COUNTA($F$1249:F2252))</f>
        <v>937</v>
      </c>
      <c r="B2252" s="56" t="s">
        <v>589</v>
      </c>
      <c r="C2252" s="21" t="s">
        <v>440</v>
      </c>
      <c r="D2252" s="247"/>
      <c r="E2252" s="59">
        <v>1324363.6363636362</v>
      </c>
      <c r="F2252" s="59">
        <v>1324363.6363636362</v>
      </c>
      <c r="G2252" s="125">
        <f t="shared" si="55"/>
        <v>0</v>
      </c>
      <c r="H2252" s="247"/>
    </row>
    <row r="2253" spans="1:8" ht="16.5">
      <c r="A2253" s="3">
        <f>IF(F2253="","",COUNTA($F$1249:F2253))</f>
        <v>938</v>
      </c>
      <c r="B2253" s="56" t="s">
        <v>590</v>
      </c>
      <c r="C2253" s="21" t="s">
        <v>440</v>
      </c>
      <c r="D2253" s="247"/>
      <c r="E2253" s="59">
        <v>618818.1818181818</v>
      </c>
      <c r="F2253" s="59">
        <v>618818.1818181818</v>
      </c>
      <c r="G2253" s="125">
        <f t="shared" si="55"/>
        <v>0</v>
      </c>
      <c r="H2253" s="247"/>
    </row>
    <row r="2254" spans="1:8" ht="16.5">
      <c r="A2254" s="3">
        <f>IF(F2254="","",COUNTA($F$1249:F2254))</f>
        <v>939</v>
      </c>
      <c r="B2254" s="56" t="s">
        <v>591</v>
      </c>
      <c r="C2254" s="21" t="s">
        <v>440</v>
      </c>
      <c r="D2254" s="247"/>
      <c r="E2254" s="59">
        <v>784272.7272727272</v>
      </c>
      <c r="F2254" s="59">
        <v>784272.7272727272</v>
      </c>
      <c r="G2254" s="125">
        <f t="shared" si="55"/>
        <v>0</v>
      </c>
      <c r="H2254" s="247"/>
    </row>
    <row r="2255" spans="1:8" ht="16.5">
      <c r="A2255" s="3">
        <f>IF(F2255="","",COUNTA($F$1249:F2255))</f>
        <v>940</v>
      </c>
      <c r="B2255" s="56" t="s">
        <v>592</v>
      </c>
      <c r="C2255" s="21" t="s">
        <v>440</v>
      </c>
      <c r="D2255" s="247"/>
      <c r="E2255" s="59">
        <v>936636.3636363635</v>
      </c>
      <c r="F2255" s="59">
        <v>936636.3636363635</v>
      </c>
      <c r="G2255" s="125">
        <f t="shared" si="55"/>
        <v>0</v>
      </c>
      <c r="H2255" s="247"/>
    </row>
    <row r="2256" spans="1:8" ht="16.5">
      <c r="A2256" s="3">
        <f>IF(F2256="","",COUNTA($F$1249:F2256))</f>
        <v>941</v>
      </c>
      <c r="B2256" s="56" t="s">
        <v>593</v>
      </c>
      <c r="C2256" s="21" t="s">
        <v>440</v>
      </c>
      <c r="D2256" s="247"/>
      <c r="E2256" s="59">
        <v>1158363.6363636362</v>
      </c>
      <c r="F2256" s="59">
        <v>1158363.6363636362</v>
      </c>
      <c r="G2256" s="125">
        <f t="shared" si="55"/>
        <v>0</v>
      </c>
      <c r="H2256" s="247"/>
    </row>
    <row r="2257" spans="1:8" ht="16.5">
      <c r="A2257" s="3">
        <f>IF(F2257="","",COUNTA($F$1249:F2257))</f>
        <v>942</v>
      </c>
      <c r="B2257" s="56" t="s">
        <v>594</v>
      </c>
      <c r="C2257" s="21" t="s">
        <v>440</v>
      </c>
      <c r="D2257" s="247"/>
      <c r="E2257" s="59">
        <v>1387272.727272727</v>
      </c>
      <c r="F2257" s="59">
        <v>1387272.727272727</v>
      </c>
      <c r="G2257" s="125">
        <f t="shared" si="55"/>
        <v>0</v>
      </c>
      <c r="H2257" s="247"/>
    </row>
    <row r="2258" spans="1:8" ht="16.5">
      <c r="A2258" s="3">
        <f>IF(F2258="","",COUNTA($F$1249:F2258))</f>
        <v>943</v>
      </c>
      <c r="B2258" s="56" t="s">
        <v>595</v>
      </c>
      <c r="C2258" s="21" t="s">
        <v>440</v>
      </c>
      <c r="D2258" s="247"/>
      <c r="E2258" s="59">
        <v>1658818.1818181816</v>
      </c>
      <c r="F2258" s="59">
        <v>1658818.1818181816</v>
      </c>
      <c r="G2258" s="125">
        <f t="shared" si="55"/>
        <v>0</v>
      </c>
      <c r="H2258" s="247"/>
    </row>
    <row r="2259" spans="1:8" ht="16.5">
      <c r="A2259" s="3">
        <f>IF(F2259="","",COUNTA($F$1249:F2259))</f>
        <v>944</v>
      </c>
      <c r="B2259" s="56" t="s">
        <v>596</v>
      </c>
      <c r="C2259" s="21" t="s">
        <v>440</v>
      </c>
      <c r="D2259" s="247"/>
      <c r="E2259" s="59">
        <v>789090.9090909091</v>
      </c>
      <c r="F2259" s="59">
        <v>789090.9090909091</v>
      </c>
      <c r="G2259" s="125">
        <f t="shared" si="55"/>
        <v>0</v>
      </c>
      <c r="H2259" s="247"/>
    </row>
    <row r="2260" spans="1:8" ht="16.5">
      <c r="A2260" s="3">
        <f>IF(F2260="","",COUNTA($F$1249:F2260))</f>
        <v>945</v>
      </c>
      <c r="B2260" s="56" t="s">
        <v>597</v>
      </c>
      <c r="C2260" s="21" t="s">
        <v>440</v>
      </c>
      <c r="D2260" s="247"/>
      <c r="E2260" s="59">
        <v>982454.5454545454</v>
      </c>
      <c r="F2260" s="59">
        <v>982454.5454545454</v>
      </c>
      <c r="G2260" s="125">
        <f t="shared" si="55"/>
        <v>0</v>
      </c>
      <c r="H2260" s="247"/>
    </row>
    <row r="2261" spans="1:8" ht="16.5">
      <c r="A2261" s="3">
        <f>IF(F2261="","",COUNTA($F$1249:F2261))</f>
        <v>946</v>
      </c>
      <c r="B2261" s="56" t="s">
        <v>598</v>
      </c>
      <c r="C2261" s="21" t="s">
        <v>440</v>
      </c>
      <c r="D2261" s="247"/>
      <c r="E2261" s="59">
        <v>1192727.2727272727</v>
      </c>
      <c r="F2261" s="59">
        <v>1192727.2727272727</v>
      </c>
      <c r="G2261" s="125">
        <f t="shared" si="55"/>
        <v>0</v>
      </c>
      <c r="H2261" s="247"/>
    </row>
    <row r="2262" spans="1:8" ht="16.5">
      <c r="A2262" s="3">
        <f>IF(F2262="","",COUNTA($F$1249:F2262))</f>
        <v>947</v>
      </c>
      <c r="B2262" s="56" t="s">
        <v>599</v>
      </c>
      <c r="C2262" s="21" t="s">
        <v>440</v>
      </c>
      <c r="D2262" s="247"/>
      <c r="E2262" s="59">
        <v>1448818.1818181816</v>
      </c>
      <c r="F2262" s="59">
        <v>1448818.1818181816</v>
      </c>
      <c r="G2262" s="125">
        <f t="shared" si="55"/>
        <v>0</v>
      </c>
      <c r="H2262" s="247"/>
    </row>
    <row r="2263" spans="1:8" ht="16.5">
      <c r="A2263" s="3">
        <f>IF(F2263="","",COUNTA($F$1249:F2263))</f>
        <v>948</v>
      </c>
      <c r="B2263" s="56" t="s">
        <v>600</v>
      </c>
      <c r="C2263" s="21" t="s">
        <v>440</v>
      </c>
      <c r="D2263" s="247"/>
      <c r="E2263" s="59">
        <v>1755999.9999999998</v>
      </c>
      <c r="F2263" s="59">
        <v>1755999.9999999998</v>
      </c>
      <c r="G2263" s="125">
        <f t="shared" si="55"/>
        <v>0</v>
      </c>
      <c r="H2263" s="247"/>
    </row>
    <row r="2264" spans="1:8" ht="16.5">
      <c r="A2264" s="3">
        <f>IF(F2264="","",COUNTA($F$1249:F2264))</f>
        <v>949</v>
      </c>
      <c r="B2264" s="56" t="s">
        <v>601</v>
      </c>
      <c r="C2264" s="21" t="s">
        <v>440</v>
      </c>
      <c r="D2264" s="247"/>
      <c r="E2264" s="59">
        <v>2113181.818181818</v>
      </c>
      <c r="F2264" s="59">
        <v>2113181.818181818</v>
      </c>
      <c r="G2264" s="125">
        <f t="shared" si="55"/>
        <v>0</v>
      </c>
      <c r="H2264" s="247"/>
    </row>
    <row r="2265" spans="1:8" ht="16.5">
      <c r="A2265" s="3">
        <f>IF(F2265="","",COUNTA($F$1249:F2265))</f>
        <v>950</v>
      </c>
      <c r="B2265" s="56" t="s">
        <v>602</v>
      </c>
      <c r="C2265" s="21" t="s">
        <v>440</v>
      </c>
      <c r="D2265" s="247"/>
      <c r="E2265" s="59">
        <v>1002272.7272727272</v>
      </c>
      <c r="F2265" s="59">
        <v>1002272.7272727272</v>
      </c>
      <c r="G2265" s="125">
        <f t="shared" si="55"/>
        <v>0</v>
      </c>
      <c r="H2265" s="247"/>
    </row>
    <row r="2266" spans="1:8" ht="16.5">
      <c r="A2266" s="3">
        <f>IF(F2266="","",COUNTA($F$1249:F2266))</f>
        <v>951</v>
      </c>
      <c r="B2266" s="56" t="s">
        <v>603</v>
      </c>
      <c r="C2266" s="21" t="s">
        <v>440</v>
      </c>
      <c r="D2266" s="247"/>
      <c r="E2266" s="59">
        <v>1235454.5454545454</v>
      </c>
      <c r="F2266" s="59">
        <v>1235454.5454545454</v>
      </c>
      <c r="G2266" s="125">
        <f t="shared" si="55"/>
        <v>0</v>
      </c>
      <c r="H2266" s="247"/>
    </row>
    <row r="2267" spans="1:8" ht="16.5">
      <c r="A2267" s="3">
        <f>IF(F2267="","",COUNTA($F$1249:F2267))</f>
        <v>952</v>
      </c>
      <c r="B2267" s="56" t="s">
        <v>604</v>
      </c>
      <c r="C2267" s="21" t="s">
        <v>440</v>
      </c>
      <c r="D2267" s="247"/>
      <c r="E2267" s="59">
        <v>1515727.2727272727</v>
      </c>
      <c r="F2267" s="59">
        <v>1515727.2727272727</v>
      </c>
      <c r="G2267" s="125">
        <f t="shared" si="55"/>
        <v>0</v>
      </c>
      <c r="H2267" s="247"/>
    </row>
    <row r="2268" spans="1:8" ht="16.5">
      <c r="A2268" s="3">
        <f>IF(F2268="","",COUNTA($F$1249:F2268))</f>
        <v>953</v>
      </c>
      <c r="B2268" s="56" t="s">
        <v>605</v>
      </c>
      <c r="C2268" s="21" t="s">
        <v>440</v>
      </c>
      <c r="D2268" s="247"/>
      <c r="E2268" s="59">
        <v>1837545.4545454544</v>
      </c>
      <c r="F2268" s="59">
        <v>1837545.4545454544</v>
      </c>
      <c r="G2268" s="125">
        <f t="shared" si="55"/>
        <v>0</v>
      </c>
      <c r="H2268" s="247"/>
    </row>
    <row r="2269" spans="1:8" ht="16.5">
      <c r="A2269" s="3">
        <f>IF(F2269="","",COUNTA($F$1249:F2269))</f>
        <v>954</v>
      </c>
      <c r="B2269" s="56" t="s">
        <v>606</v>
      </c>
      <c r="C2269" s="21" t="s">
        <v>440</v>
      </c>
      <c r="D2269" s="247"/>
      <c r="E2269" s="59">
        <v>2229272.727272727</v>
      </c>
      <c r="F2269" s="59">
        <v>2229272.727272727</v>
      </c>
      <c r="G2269" s="125">
        <f t="shared" si="55"/>
        <v>0</v>
      </c>
      <c r="H2269" s="247"/>
    </row>
    <row r="2270" spans="1:8" ht="16.5">
      <c r="A2270" s="3">
        <f>IF(F2270="","",COUNTA($F$1249:F2270))</f>
        <v>955</v>
      </c>
      <c r="B2270" s="56" t="s">
        <v>607</v>
      </c>
      <c r="C2270" s="21" t="s">
        <v>440</v>
      </c>
      <c r="D2270" s="247"/>
      <c r="E2270" s="59">
        <v>2680727.2727272725</v>
      </c>
      <c r="F2270" s="59">
        <v>2680727.2727272725</v>
      </c>
      <c r="G2270" s="125">
        <f t="shared" si="55"/>
        <v>0</v>
      </c>
      <c r="H2270" s="247"/>
    </row>
    <row r="2271" spans="1:8" ht="16.5">
      <c r="A2271" s="3">
        <f>IF(F2271="","",COUNTA($F$1249:F2271))</f>
        <v>956</v>
      </c>
      <c r="B2271" s="56" t="s">
        <v>608</v>
      </c>
      <c r="C2271" s="21" t="s">
        <v>440</v>
      </c>
      <c r="D2271" s="247"/>
      <c r="E2271" s="59">
        <v>1264454.5454545454</v>
      </c>
      <c r="F2271" s="59">
        <v>1264454.5454545454</v>
      </c>
      <c r="G2271" s="125">
        <f t="shared" si="55"/>
        <v>0</v>
      </c>
      <c r="H2271" s="247"/>
    </row>
    <row r="2272" spans="1:8" ht="16.5">
      <c r="A2272" s="3">
        <f>IF(F2272="","",COUNTA($F$1249:F2272))</f>
        <v>957</v>
      </c>
      <c r="B2272" s="56" t="s">
        <v>609</v>
      </c>
      <c r="C2272" s="21" t="s">
        <v>440</v>
      </c>
      <c r="D2272" s="247"/>
      <c r="E2272" s="59">
        <v>1584363.6363636362</v>
      </c>
      <c r="F2272" s="59">
        <v>1584363.6363636362</v>
      </c>
      <c r="G2272" s="125">
        <f t="shared" si="55"/>
        <v>0</v>
      </c>
      <c r="H2272" s="247"/>
    </row>
    <row r="2273" spans="1:8" ht="16.5">
      <c r="A2273" s="3">
        <f>IF(F2273="","",COUNTA($F$1249:F2273))</f>
        <v>958</v>
      </c>
      <c r="B2273" s="56" t="s">
        <v>610</v>
      </c>
      <c r="C2273" s="21" t="s">
        <v>440</v>
      </c>
      <c r="D2273" s="247"/>
      <c r="E2273" s="59">
        <v>1925999.9999999998</v>
      </c>
      <c r="F2273" s="59">
        <v>1925999.9999999998</v>
      </c>
      <c r="G2273" s="125">
        <f t="shared" si="55"/>
        <v>0</v>
      </c>
      <c r="H2273" s="247"/>
    </row>
    <row r="2274" spans="1:8" ht="16.5">
      <c r="A2274" s="3">
        <f>IF(F2274="","",COUNTA($F$1249:F2274))</f>
        <v>959</v>
      </c>
      <c r="B2274" s="56" t="s">
        <v>611</v>
      </c>
      <c r="C2274" s="21" t="s">
        <v>440</v>
      </c>
      <c r="D2274" s="247"/>
      <c r="E2274" s="59">
        <v>2326363.6363636362</v>
      </c>
      <c r="F2274" s="59">
        <v>2326363.6363636362</v>
      </c>
      <c r="G2274" s="125">
        <f t="shared" si="55"/>
        <v>0</v>
      </c>
      <c r="H2274" s="247"/>
    </row>
    <row r="2275" spans="1:8" ht="16.5">
      <c r="A2275" s="3">
        <f>IF(F2275="","",COUNTA($F$1249:F2275))</f>
        <v>960</v>
      </c>
      <c r="B2275" s="56" t="s">
        <v>612</v>
      </c>
      <c r="C2275" s="21" t="s">
        <v>440</v>
      </c>
      <c r="D2275" s="247"/>
      <c r="E2275" s="59">
        <v>2841000</v>
      </c>
      <c r="F2275" s="59">
        <v>2841000</v>
      </c>
      <c r="G2275" s="125">
        <f t="shared" si="55"/>
        <v>0</v>
      </c>
      <c r="H2275" s="247"/>
    </row>
    <row r="2276" spans="1:8" ht="16.5">
      <c r="A2276" s="3">
        <f>IF(F2276="","",COUNTA($F$1249:F2276))</f>
        <v>961</v>
      </c>
      <c r="B2276" s="56" t="s">
        <v>613</v>
      </c>
      <c r="C2276" s="21" t="s">
        <v>440</v>
      </c>
      <c r="D2276" s="247"/>
      <c r="E2276" s="59">
        <v>3414181.818181818</v>
      </c>
      <c r="F2276" s="59">
        <v>3414181.818181818</v>
      </c>
      <c r="G2276" s="125">
        <f t="shared" si="55"/>
        <v>0</v>
      </c>
      <c r="H2276" s="247"/>
    </row>
    <row r="2277" spans="1:8" ht="16.5">
      <c r="A2277" s="3">
        <f>IF(F2277="","",COUNTA($F$1249:F2277))</f>
        <v>962</v>
      </c>
      <c r="B2277" s="56" t="s">
        <v>614</v>
      </c>
      <c r="C2277" s="21" t="s">
        <v>440</v>
      </c>
      <c r="D2277" s="247"/>
      <c r="E2277" s="59">
        <v>1615909</v>
      </c>
      <c r="F2277" s="59">
        <v>1615909</v>
      </c>
      <c r="G2277" s="125">
        <f t="shared" si="55"/>
        <v>0</v>
      </c>
      <c r="H2277" s="247"/>
    </row>
    <row r="2278" spans="1:8" ht="16.5">
      <c r="A2278" s="3">
        <f>IF(F2278="","",COUNTA($F$1249:F2278))</f>
        <v>963</v>
      </c>
      <c r="B2278" s="56" t="s">
        <v>615</v>
      </c>
      <c r="C2278" s="21" t="s">
        <v>440</v>
      </c>
      <c r="D2278" s="247"/>
      <c r="E2278" s="59">
        <v>1988727</v>
      </c>
      <c r="F2278" s="59">
        <v>1988727</v>
      </c>
      <c r="G2278" s="125">
        <f t="shared" si="55"/>
        <v>0</v>
      </c>
      <c r="H2278" s="247"/>
    </row>
    <row r="2279" spans="1:8" ht="16.5">
      <c r="A2279" s="3">
        <f>IF(F2279="","",COUNTA($F$1249:F2279))</f>
        <v>964</v>
      </c>
      <c r="B2279" s="56" t="s">
        <v>616</v>
      </c>
      <c r="C2279" s="21" t="s">
        <v>440</v>
      </c>
      <c r="D2279" s="247"/>
      <c r="E2279" s="59">
        <v>2433727</v>
      </c>
      <c r="F2279" s="59">
        <v>2433727</v>
      </c>
      <c r="G2279" s="125">
        <f t="shared" si="55"/>
        <v>0</v>
      </c>
      <c r="H2279" s="247"/>
    </row>
    <row r="2280" spans="1:8" ht="16.5">
      <c r="A2280" s="3">
        <f>IF(F2280="","",COUNTA($F$1249:F2280))</f>
        <v>965</v>
      </c>
      <c r="B2280" s="56" t="s">
        <v>617</v>
      </c>
      <c r="C2280" s="21" t="s">
        <v>440</v>
      </c>
      <c r="D2280" s="247"/>
      <c r="E2280" s="59">
        <v>2941364</v>
      </c>
      <c r="F2280" s="59">
        <v>2941364</v>
      </c>
      <c r="G2280" s="125">
        <f t="shared" si="55"/>
        <v>0</v>
      </c>
      <c r="H2280" s="247"/>
    </row>
    <row r="2281" spans="1:8" ht="16.5">
      <c r="A2281" s="3">
        <f>IF(F2281="","",COUNTA($F$1249:F2281))</f>
        <v>966</v>
      </c>
      <c r="B2281" s="56" t="s">
        <v>618</v>
      </c>
      <c r="C2281" s="21" t="s">
        <v>440</v>
      </c>
      <c r="D2281" s="247"/>
      <c r="E2281" s="59">
        <v>3595909</v>
      </c>
      <c r="F2281" s="59">
        <v>3595909</v>
      </c>
      <c r="G2281" s="125">
        <f t="shared" si="55"/>
        <v>0</v>
      </c>
      <c r="H2281" s="247"/>
    </row>
    <row r="2282" spans="1:8" ht="16.5">
      <c r="A2282" s="3">
        <f>IF(F2282="","",COUNTA($F$1249:F2282))</f>
        <v>967</v>
      </c>
      <c r="B2282" s="56" t="s">
        <v>619</v>
      </c>
      <c r="C2282" s="21" t="s">
        <v>440</v>
      </c>
      <c r="D2282" s="247"/>
      <c r="E2282" s="59">
        <v>4316091</v>
      </c>
      <c r="F2282" s="59">
        <v>4316091</v>
      </c>
      <c r="G2282" s="125">
        <f t="shared" si="55"/>
        <v>0</v>
      </c>
      <c r="H2282" s="247"/>
    </row>
    <row r="2283" spans="1:8" ht="16.5">
      <c r="A2283" s="3">
        <f>IF(F2283="","",COUNTA($F$1249:F2283))</f>
        <v>968</v>
      </c>
      <c r="B2283" s="56" t="s">
        <v>620</v>
      </c>
      <c r="C2283" s="21" t="s">
        <v>440</v>
      </c>
      <c r="D2283" s="247"/>
      <c r="E2283" s="59">
        <v>1967909</v>
      </c>
      <c r="F2283" s="59">
        <v>1967909</v>
      </c>
      <c r="G2283" s="125">
        <f t="shared" si="55"/>
        <v>0</v>
      </c>
      <c r="H2283" s="247"/>
    </row>
    <row r="2284" spans="1:8" ht="16.5">
      <c r="A2284" s="3">
        <f>IF(F2284="","",COUNTA($F$1249:F2284))</f>
        <v>969</v>
      </c>
      <c r="B2284" s="56" t="s">
        <v>621</v>
      </c>
      <c r="C2284" s="21" t="s">
        <v>440</v>
      </c>
      <c r="D2284" s="247"/>
      <c r="E2284" s="59">
        <v>2467091</v>
      </c>
      <c r="F2284" s="59">
        <v>2467091</v>
      </c>
      <c r="G2284" s="125">
        <f t="shared" si="55"/>
        <v>0</v>
      </c>
      <c r="H2284" s="247"/>
    </row>
    <row r="2285" spans="1:8" ht="16.5">
      <c r="A2285" s="3">
        <f>IF(F2285="","",COUNTA($F$1249:F2285))</f>
        <v>970</v>
      </c>
      <c r="B2285" s="56" t="s">
        <v>622</v>
      </c>
      <c r="C2285" s="21" t="s">
        <v>440</v>
      </c>
      <c r="D2285" s="247"/>
      <c r="E2285" s="59">
        <v>3026455</v>
      </c>
      <c r="F2285" s="59">
        <v>3026455</v>
      </c>
      <c r="G2285" s="125">
        <f t="shared" si="55"/>
        <v>0</v>
      </c>
      <c r="H2285" s="247"/>
    </row>
    <row r="2286" spans="1:8" ht="16.5">
      <c r="A2286" s="3">
        <f>IF(F2286="","",COUNTA($F$1249:F2286))</f>
        <v>971</v>
      </c>
      <c r="B2286" s="56" t="s">
        <v>623</v>
      </c>
      <c r="C2286" s="21" t="s">
        <v>440</v>
      </c>
      <c r="D2286" s="247"/>
      <c r="E2286" s="59">
        <v>3660545</v>
      </c>
      <c r="F2286" s="59">
        <v>3660545</v>
      </c>
      <c r="G2286" s="125">
        <f t="shared" si="55"/>
        <v>0</v>
      </c>
      <c r="H2286" s="247"/>
    </row>
    <row r="2287" spans="1:8" ht="16.5">
      <c r="A2287" s="3">
        <f>IF(F2287="","",COUNTA($F$1249:F2287))</f>
        <v>972</v>
      </c>
      <c r="B2287" s="56" t="s">
        <v>624</v>
      </c>
      <c r="C2287" s="21" t="s">
        <v>440</v>
      </c>
      <c r="D2287" s="247"/>
      <c r="E2287" s="59">
        <v>4457545</v>
      </c>
      <c r="F2287" s="59">
        <v>4457545</v>
      </c>
      <c r="G2287" s="125">
        <f t="shared" si="55"/>
        <v>0</v>
      </c>
      <c r="H2287" s="247"/>
    </row>
    <row r="2288" spans="1:8" ht="16.5">
      <c r="A2288" s="3">
        <f>IF(F2288="","",COUNTA($F$1249:F2288))</f>
        <v>973</v>
      </c>
      <c r="B2288" s="56" t="s">
        <v>625</v>
      </c>
      <c r="C2288" s="21" t="s">
        <v>440</v>
      </c>
      <c r="D2288" s="247"/>
      <c r="E2288" s="59">
        <v>5338545</v>
      </c>
      <c r="F2288" s="59">
        <v>5338545</v>
      </c>
      <c r="G2288" s="125">
        <f t="shared" si="55"/>
        <v>0</v>
      </c>
      <c r="H2288" s="247"/>
    </row>
    <row r="2289" spans="1:8" ht="16.5">
      <c r="A2289" s="3">
        <f>IF(F2289="","",COUNTA($F$1249:F2289))</f>
        <v>974</v>
      </c>
      <c r="B2289" s="56" t="s">
        <v>626</v>
      </c>
      <c r="C2289" s="21" t="s">
        <v>440</v>
      </c>
      <c r="D2289" s="247"/>
      <c r="E2289" s="59">
        <v>2702727</v>
      </c>
      <c r="F2289" s="59">
        <v>2702727</v>
      </c>
      <c r="G2289" s="125">
        <f t="shared" si="55"/>
        <v>0</v>
      </c>
      <c r="H2289" s="247"/>
    </row>
    <row r="2290" spans="1:8" ht="16.5">
      <c r="A2290" s="3">
        <f>IF(F2290="","",COUNTA($F$1249:F2290))</f>
        <v>975</v>
      </c>
      <c r="B2290" s="56" t="s">
        <v>627</v>
      </c>
      <c r="C2290" s="21" t="s">
        <v>440</v>
      </c>
      <c r="D2290" s="247"/>
      <c r="E2290" s="59">
        <v>3332727</v>
      </c>
      <c r="F2290" s="59">
        <v>3332727</v>
      </c>
      <c r="G2290" s="125">
        <f t="shared" si="55"/>
        <v>0</v>
      </c>
      <c r="H2290" s="247"/>
    </row>
    <row r="2291" spans="1:8" ht="16.5">
      <c r="A2291" s="3">
        <f>IF(F2291="","",COUNTA($F$1249:F2291))</f>
        <v>976</v>
      </c>
      <c r="B2291" s="56" t="s">
        <v>628</v>
      </c>
      <c r="C2291" s="21" t="s">
        <v>440</v>
      </c>
      <c r="D2291" s="247"/>
      <c r="E2291" s="59">
        <v>4091818</v>
      </c>
      <c r="F2291" s="59">
        <v>4091818</v>
      </c>
      <c r="G2291" s="125">
        <f t="shared" si="55"/>
        <v>0</v>
      </c>
      <c r="H2291" s="247"/>
    </row>
    <row r="2292" spans="1:8" ht="16.5">
      <c r="A2292" s="3">
        <f>IF(F2292="","",COUNTA($F$1249:F2292))</f>
        <v>977</v>
      </c>
      <c r="B2292" s="56" t="s">
        <v>629</v>
      </c>
      <c r="C2292" s="21" t="s">
        <v>440</v>
      </c>
      <c r="D2292" s="247"/>
      <c r="E2292" s="59">
        <v>4994545</v>
      </c>
      <c r="F2292" s="59">
        <v>4994545</v>
      </c>
      <c r="G2292" s="125">
        <f t="shared" si="55"/>
        <v>0</v>
      </c>
      <c r="H2292" s="247"/>
    </row>
    <row r="2293" spans="1:8" ht="16.5">
      <c r="A2293" s="3">
        <f>IF(F2293="","",COUNTA($F$1249:F2293))</f>
        <v>978</v>
      </c>
      <c r="B2293" s="56" t="s">
        <v>630</v>
      </c>
      <c r="C2293" s="21" t="s">
        <v>440</v>
      </c>
      <c r="D2293" s="247"/>
      <c r="E2293" s="59">
        <v>6032727</v>
      </c>
      <c r="F2293" s="59">
        <v>6032727</v>
      </c>
      <c r="G2293" s="125">
        <f t="shared" si="55"/>
        <v>0</v>
      </c>
      <c r="H2293" s="247"/>
    </row>
    <row r="2294" spans="1:8" ht="16.5">
      <c r="A2294" s="3">
        <f>IF(F2294="","",COUNTA($F$1249:F2294))</f>
        <v>979</v>
      </c>
      <c r="B2294" s="56" t="s">
        <v>631</v>
      </c>
      <c r="C2294" s="21" t="s">
        <v>440</v>
      </c>
      <c r="D2294" s="247"/>
      <c r="E2294" s="59">
        <v>3424545</v>
      </c>
      <c r="F2294" s="59">
        <v>3424545</v>
      </c>
      <c r="G2294" s="125">
        <f t="shared" si="55"/>
        <v>0</v>
      </c>
      <c r="H2294" s="247"/>
    </row>
    <row r="2295" spans="1:8" ht="16.5">
      <c r="A2295" s="3">
        <f>IF(F2295="","",COUNTA($F$1249:F2295))</f>
        <v>980</v>
      </c>
      <c r="B2295" s="56" t="s">
        <v>632</v>
      </c>
      <c r="C2295" s="21" t="s">
        <v>440</v>
      </c>
      <c r="D2295" s="247"/>
      <c r="E2295" s="59">
        <v>4210909</v>
      </c>
      <c r="F2295" s="59">
        <v>4210909</v>
      </c>
      <c r="G2295" s="125">
        <f t="shared" si="55"/>
        <v>0</v>
      </c>
      <c r="H2295" s="247"/>
    </row>
    <row r="2296" spans="1:8" ht="16.5">
      <c r="A2296" s="3">
        <f>IF(F2296="","",COUNTA($F$1249:F2296))</f>
        <v>981</v>
      </c>
      <c r="B2296" s="56" t="s">
        <v>633</v>
      </c>
      <c r="C2296" s="21" t="s">
        <v>440</v>
      </c>
      <c r="D2296" s="247"/>
      <c r="E2296" s="59">
        <v>5182727</v>
      </c>
      <c r="F2296" s="59">
        <v>5182727</v>
      </c>
      <c r="G2296" s="125">
        <f aca="true" t="shared" si="56" ref="G2296:G2359">(E2296-F2296)/E2296</f>
        <v>0</v>
      </c>
      <c r="H2296" s="247"/>
    </row>
    <row r="2297" spans="1:8" ht="16.5">
      <c r="A2297" s="3">
        <f>IF(F2297="","",COUNTA($F$1249:F2297))</f>
        <v>982</v>
      </c>
      <c r="B2297" s="56" t="s">
        <v>634</v>
      </c>
      <c r="C2297" s="21" t="s">
        <v>440</v>
      </c>
      <c r="D2297" s="247"/>
      <c r="E2297" s="59">
        <v>6312727</v>
      </c>
      <c r="F2297" s="59">
        <v>6312727</v>
      </c>
      <c r="G2297" s="125">
        <f t="shared" si="56"/>
        <v>0</v>
      </c>
      <c r="H2297" s="247"/>
    </row>
    <row r="2298" spans="1:8" ht="16.5">
      <c r="A2298" s="3">
        <f>IF(F2298="","",COUNTA($F$1249:F2298))</f>
        <v>983</v>
      </c>
      <c r="B2298" s="56" t="s">
        <v>635</v>
      </c>
      <c r="C2298" s="21" t="s">
        <v>440</v>
      </c>
      <c r="D2298" s="247"/>
      <c r="E2298" s="59">
        <v>7167273</v>
      </c>
      <c r="F2298" s="59">
        <v>7167273</v>
      </c>
      <c r="G2298" s="125">
        <f t="shared" si="56"/>
        <v>0</v>
      </c>
      <c r="H2298" s="247"/>
    </row>
    <row r="2299" spans="1:8" ht="17.25">
      <c r="A2299" s="3">
        <f>IF(F2299="","",COUNTA($F$1249:F2299))</f>
      </c>
      <c r="B2299" s="31" t="s">
        <v>636</v>
      </c>
      <c r="C2299" s="57"/>
      <c r="E2299" s="6"/>
      <c r="F2299" s="6"/>
      <c r="G2299" s="125" t="e">
        <f t="shared" si="56"/>
        <v>#DIV/0!</v>
      </c>
      <c r="H2299" s="247"/>
    </row>
    <row r="2300" spans="1:8" ht="16.5">
      <c r="A2300" s="3">
        <f>IF(F2300="","",COUNTA($F$1249:F2300))</f>
        <v>984</v>
      </c>
      <c r="B2300" s="58" t="s">
        <v>637</v>
      </c>
      <c r="C2300" s="21" t="s">
        <v>440</v>
      </c>
      <c r="D2300" s="247" t="s">
        <v>638</v>
      </c>
      <c r="E2300" s="59">
        <v>22182</v>
      </c>
      <c r="F2300" s="59">
        <v>22182</v>
      </c>
      <c r="G2300" s="125">
        <f t="shared" si="56"/>
        <v>0</v>
      </c>
      <c r="H2300" s="247"/>
    </row>
    <row r="2301" spans="1:8" ht="16.5">
      <c r="A2301" s="3">
        <f>IF(F2301="","",COUNTA($F$1249:F2301))</f>
        <v>985</v>
      </c>
      <c r="B2301" s="60" t="s">
        <v>639</v>
      </c>
      <c r="C2301" s="21" t="s">
        <v>440</v>
      </c>
      <c r="D2301" s="247"/>
      <c r="E2301" s="59">
        <v>24727</v>
      </c>
      <c r="F2301" s="59">
        <v>24727</v>
      </c>
      <c r="G2301" s="125">
        <f t="shared" si="56"/>
        <v>0</v>
      </c>
      <c r="H2301" s="247"/>
    </row>
    <row r="2302" spans="1:8" ht="16.5">
      <c r="A2302" s="3">
        <f>IF(F2302="","",COUNTA($F$1249:F2302))</f>
        <v>986</v>
      </c>
      <c r="B2302" s="60" t="s">
        <v>640</v>
      </c>
      <c r="C2302" s="21" t="s">
        <v>440</v>
      </c>
      <c r="D2302" s="247"/>
      <c r="E2302" s="59">
        <v>27455</v>
      </c>
      <c r="F2302" s="59">
        <v>27455</v>
      </c>
      <c r="G2302" s="125">
        <f t="shared" si="56"/>
        <v>0</v>
      </c>
      <c r="H2302" s="247"/>
    </row>
    <row r="2303" spans="1:8" ht="16.5">
      <c r="A2303" s="3">
        <f>IF(F2303="","",COUNTA($F$1249:F2303))</f>
        <v>987</v>
      </c>
      <c r="B2303" s="60" t="s">
        <v>641</v>
      </c>
      <c r="C2303" s="21" t="s">
        <v>440</v>
      </c>
      <c r="D2303" s="247"/>
      <c r="E2303" s="59">
        <v>30364</v>
      </c>
      <c r="F2303" s="59">
        <v>30364</v>
      </c>
      <c r="G2303" s="125">
        <f t="shared" si="56"/>
        <v>0</v>
      </c>
      <c r="H2303" s="247"/>
    </row>
    <row r="2304" spans="1:8" ht="16.5">
      <c r="A2304" s="3">
        <f>IF(F2304="","",COUNTA($F$1249:F2304))</f>
        <v>988</v>
      </c>
      <c r="B2304" s="60" t="s">
        <v>642</v>
      </c>
      <c r="C2304" s="21" t="s">
        <v>440</v>
      </c>
      <c r="D2304" s="247"/>
      <c r="E2304" s="59">
        <v>39636</v>
      </c>
      <c r="F2304" s="59">
        <v>39636</v>
      </c>
      <c r="G2304" s="125">
        <f t="shared" si="56"/>
        <v>0</v>
      </c>
      <c r="H2304" s="247"/>
    </row>
    <row r="2305" spans="1:8" ht="16.5">
      <c r="A2305" s="3">
        <f>IF(F2305="","",COUNTA($F$1249:F2305))</f>
        <v>989</v>
      </c>
      <c r="B2305" s="60" t="s">
        <v>643</v>
      </c>
      <c r="C2305" s="21" t="s">
        <v>440</v>
      </c>
      <c r="D2305" s="247"/>
      <c r="E2305" s="59">
        <v>45636</v>
      </c>
      <c r="F2305" s="59">
        <v>45636</v>
      </c>
      <c r="G2305" s="125">
        <f t="shared" si="56"/>
        <v>0</v>
      </c>
      <c r="H2305" s="247"/>
    </row>
    <row r="2306" spans="1:8" ht="16.5">
      <c r="A2306" s="3">
        <f>IF(F2306="","",COUNTA($F$1249:F2306))</f>
        <v>990</v>
      </c>
      <c r="B2306" s="60" t="s">
        <v>644</v>
      </c>
      <c r="C2306" s="21" t="s">
        <v>440</v>
      </c>
      <c r="D2306" s="247"/>
      <c r="E2306" s="59">
        <v>48182</v>
      </c>
      <c r="F2306" s="59">
        <v>48182</v>
      </c>
      <c r="G2306" s="125">
        <f t="shared" si="56"/>
        <v>0</v>
      </c>
      <c r="H2306" s="247"/>
    </row>
    <row r="2307" spans="1:8" ht="16.5">
      <c r="A2307" s="3">
        <f>IF(F2307="","",COUNTA($F$1249:F2307))</f>
        <v>991</v>
      </c>
      <c r="B2307" s="60" t="s">
        <v>645</v>
      </c>
      <c r="C2307" s="21" t="s">
        <v>440</v>
      </c>
      <c r="D2307" s="247"/>
      <c r="E2307" s="59">
        <v>50364</v>
      </c>
      <c r="F2307" s="59">
        <v>50364</v>
      </c>
      <c r="G2307" s="125">
        <f t="shared" si="56"/>
        <v>0</v>
      </c>
      <c r="H2307" s="247"/>
    </row>
    <row r="2308" spans="1:8" ht="16.5">
      <c r="A2308" s="3">
        <f>IF(F2308="","",COUNTA($F$1249:F2308))</f>
        <v>992</v>
      </c>
      <c r="B2308" s="60" t="s">
        <v>646</v>
      </c>
      <c r="C2308" s="21" t="s">
        <v>440</v>
      </c>
      <c r="D2308" s="247"/>
      <c r="E2308" s="59">
        <v>51364</v>
      </c>
      <c r="F2308" s="59">
        <v>51364</v>
      </c>
      <c r="G2308" s="125">
        <f t="shared" si="56"/>
        <v>0</v>
      </c>
      <c r="H2308" s="247"/>
    </row>
    <row r="2309" spans="1:8" ht="16.5">
      <c r="A2309" s="3">
        <f>IF(F2309="","",COUNTA($F$1249:F2309))</f>
        <v>993</v>
      </c>
      <c r="B2309" s="60" t="s">
        <v>647</v>
      </c>
      <c r="C2309" s="21" t="s">
        <v>440</v>
      </c>
      <c r="D2309" s="247"/>
      <c r="E2309" s="59">
        <v>61727</v>
      </c>
      <c r="F2309" s="59">
        <v>61727</v>
      </c>
      <c r="G2309" s="125">
        <f t="shared" si="56"/>
        <v>0</v>
      </c>
      <c r="H2309" s="247"/>
    </row>
    <row r="2310" spans="1:8" ht="16.5">
      <c r="A2310" s="3">
        <f>IF(F2310="","",COUNTA($F$1249:F2310))</f>
        <v>994</v>
      </c>
      <c r="B2310" s="60" t="s">
        <v>648</v>
      </c>
      <c r="C2310" s="21" t="s">
        <v>440</v>
      </c>
      <c r="D2310" s="247"/>
      <c r="E2310" s="59">
        <v>70909</v>
      </c>
      <c r="F2310" s="59">
        <v>70909</v>
      </c>
      <c r="G2310" s="125">
        <f t="shared" si="56"/>
        <v>0</v>
      </c>
      <c r="H2310" s="247"/>
    </row>
    <row r="2311" spans="1:8" ht="16.5">
      <c r="A2311" s="3">
        <f>IF(F2311="","",COUNTA($F$1249:F2311))</f>
        <v>995</v>
      </c>
      <c r="B2311" s="60" t="s">
        <v>649</v>
      </c>
      <c r="C2311" s="21" t="s">
        <v>440</v>
      </c>
      <c r="D2311" s="247"/>
      <c r="E2311" s="59">
        <v>77909</v>
      </c>
      <c r="F2311" s="59">
        <v>77909</v>
      </c>
      <c r="G2311" s="125">
        <f t="shared" si="56"/>
        <v>0</v>
      </c>
      <c r="H2311" s="247"/>
    </row>
    <row r="2312" spans="1:8" ht="16.5">
      <c r="A2312" s="3">
        <f>IF(F2312="","",COUNTA($F$1249:F2312))</f>
        <v>996</v>
      </c>
      <c r="B2312" s="60" t="s">
        <v>650</v>
      </c>
      <c r="C2312" s="21" t="s">
        <v>440</v>
      </c>
      <c r="D2312" s="247"/>
      <c r="E2312" s="59">
        <v>68909</v>
      </c>
      <c r="F2312" s="59">
        <v>68909</v>
      </c>
      <c r="G2312" s="125">
        <f t="shared" si="56"/>
        <v>0</v>
      </c>
      <c r="H2312" s="247"/>
    </row>
    <row r="2313" spans="1:8" ht="16.5">
      <c r="A2313" s="3">
        <f>IF(F2313="","",COUNTA($F$1249:F2313))</f>
        <v>997</v>
      </c>
      <c r="B2313" s="60" t="s">
        <v>651</v>
      </c>
      <c r="C2313" s="21" t="s">
        <v>440</v>
      </c>
      <c r="D2313" s="247"/>
      <c r="E2313" s="59">
        <v>83636</v>
      </c>
      <c r="F2313" s="59">
        <v>83636</v>
      </c>
      <c r="G2313" s="125">
        <f t="shared" si="56"/>
        <v>0</v>
      </c>
      <c r="H2313" s="247"/>
    </row>
    <row r="2314" spans="1:8" ht="16.5">
      <c r="A2314" s="3">
        <f>IF(F2314="","",COUNTA($F$1249:F2314))</f>
        <v>998</v>
      </c>
      <c r="B2314" s="60" t="s">
        <v>652</v>
      </c>
      <c r="C2314" s="21" t="s">
        <v>440</v>
      </c>
      <c r="D2314" s="247"/>
      <c r="E2314" s="59">
        <v>109727</v>
      </c>
      <c r="F2314" s="59">
        <v>109727</v>
      </c>
      <c r="G2314" s="125">
        <f t="shared" si="56"/>
        <v>0</v>
      </c>
      <c r="H2314" s="247"/>
    </row>
    <row r="2315" spans="1:8" ht="16.5">
      <c r="A2315" s="3">
        <f>IF(F2315="","",COUNTA($F$1249:F2315))</f>
        <v>999</v>
      </c>
      <c r="B2315" s="60" t="s">
        <v>653</v>
      </c>
      <c r="C2315" s="21" t="s">
        <v>440</v>
      </c>
      <c r="D2315" s="247"/>
      <c r="E2315" s="59">
        <v>119091</v>
      </c>
      <c r="F2315" s="59">
        <v>119091</v>
      </c>
      <c r="G2315" s="125">
        <f t="shared" si="56"/>
        <v>0</v>
      </c>
      <c r="H2315" s="247"/>
    </row>
    <row r="2316" spans="1:8" ht="16.5">
      <c r="A2316" s="3">
        <f>IF(F2316="","",COUNTA($F$1249:F2316))</f>
        <v>1000</v>
      </c>
      <c r="B2316" s="60" t="s">
        <v>654</v>
      </c>
      <c r="C2316" s="21" t="s">
        <v>440</v>
      </c>
      <c r="D2316" s="247"/>
      <c r="E2316" s="59">
        <v>101000</v>
      </c>
      <c r="F2316" s="59">
        <v>101000</v>
      </c>
      <c r="G2316" s="125">
        <f t="shared" si="56"/>
        <v>0</v>
      </c>
      <c r="H2316" s="247"/>
    </row>
    <row r="2317" spans="1:8" ht="16.5">
      <c r="A2317" s="3">
        <f>IF(F2317="","",COUNTA($F$1249:F2317))</f>
        <v>1001</v>
      </c>
      <c r="B2317" s="60" t="s">
        <v>655</v>
      </c>
      <c r="C2317" s="21" t="s">
        <v>440</v>
      </c>
      <c r="D2317" s="247"/>
      <c r="E2317" s="59">
        <v>133000</v>
      </c>
      <c r="F2317" s="59">
        <v>133000</v>
      </c>
      <c r="G2317" s="125">
        <f t="shared" si="56"/>
        <v>0</v>
      </c>
      <c r="H2317" s="247"/>
    </row>
    <row r="2318" spans="1:8" ht="16.5">
      <c r="A2318" s="3">
        <f>IF(F2318="","",COUNTA($F$1249:F2318))</f>
        <v>1002</v>
      </c>
      <c r="B2318" s="60" t="s">
        <v>656</v>
      </c>
      <c r="C2318" s="21" t="s">
        <v>440</v>
      </c>
      <c r="D2318" s="247"/>
      <c r="E2318" s="59">
        <v>170545</v>
      </c>
      <c r="F2318" s="59">
        <v>170545</v>
      </c>
      <c r="G2318" s="125">
        <f t="shared" si="56"/>
        <v>0</v>
      </c>
      <c r="H2318" s="247"/>
    </row>
    <row r="2319" spans="1:8" ht="16.5">
      <c r="A2319" s="3">
        <f>IF(F2319="","",COUNTA($F$1249:F2319))</f>
        <v>1003</v>
      </c>
      <c r="B2319" s="60" t="s">
        <v>657</v>
      </c>
      <c r="C2319" s="21" t="s">
        <v>440</v>
      </c>
      <c r="D2319" s="247"/>
      <c r="E2319" s="59">
        <v>190000</v>
      </c>
      <c r="F2319" s="59">
        <v>190000</v>
      </c>
      <c r="G2319" s="125">
        <f t="shared" si="56"/>
        <v>0</v>
      </c>
      <c r="H2319" s="247"/>
    </row>
    <row r="2320" spans="1:8" ht="16.5">
      <c r="A2320" s="3">
        <f>IF(F2320="","",COUNTA($F$1249:F2320))</f>
        <v>1004</v>
      </c>
      <c r="B2320" s="60" t="s">
        <v>658</v>
      </c>
      <c r="C2320" s="21" t="s">
        <v>440</v>
      </c>
      <c r="D2320" s="247"/>
      <c r="E2320" s="59">
        <v>160545</v>
      </c>
      <c r="F2320" s="59">
        <v>160545</v>
      </c>
      <c r="G2320" s="125">
        <f t="shared" si="56"/>
        <v>0</v>
      </c>
      <c r="H2320" s="247"/>
    </row>
    <row r="2321" spans="1:8" ht="16.5">
      <c r="A2321" s="3">
        <f>IF(F2321="","",COUNTA($F$1249:F2321))</f>
        <v>1005</v>
      </c>
      <c r="B2321" s="60" t="s">
        <v>659</v>
      </c>
      <c r="C2321" s="21" t="s">
        <v>440</v>
      </c>
      <c r="D2321" s="247"/>
      <c r="E2321" s="59">
        <v>209000</v>
      </c>
      <c r="F2321" s="59">
        <v>209000</v>
      </c>
      <c r="G2321" s="125">
        <f t="shared" si="56"/>
        <v>0</v>
      </c>
      <c r="H2321" s="247"/>
    </row>
    <row r="2322" spans="1:8" ht="16.5">
      <c r="A2322" s="3">
        <f>IF(F2322="","",COUNTA($F$1249:F2322))</f>
        <v>1006</v>
      </c>
      <c r="B2322" s="60" t="s">
        <v>660</v>
      </c>
      <c r="C2322" s="21" t="s">
        <v>440</v>
      </c>
      <c r="D2322" s="247"/>
      <c r="E2322" s="59">
        <v>268818</v>
      </c>
      <c r="F2322" s="59">
        <v>268818</v>
      </c>
      <c r="G2322" s="125">
        <f t="shared" si="56"/>
        <v>0</v>
      </c>
      <c r="H2322" s="247"/>
    </row>
    <row r="2323" spans="1:8" ht="16.5">
      <c r="A2323" s="3">
        <f>IF(F2323="","",COUNTA($F$1249:F2323))</f>
        <v>1007</v>
      </c>
      <c r="B2323" s="60" t="s">
        <v>661</v>
      </c>
      <c r="C2323" s="21" t="s">
        <v>440</v>
      </c>
      <c r="D2323" s="247"/>
      <c r="E2323" s="59">
        <v>299273</v>
      </c>
      <c r="F2323" s="59">
        <v>299273</v>
      </c>
      <c r="G2323" s="125">
        <f t="shared" si="56"/>
        <v>0</v>
      </c>
      <c r="H2323" s="247"/>
    </row>
    <row r="2324" spans="1:8" ht="16.5">
      <c r="A2324" s="3">
        <f>IF(F2324="","",COUNTA($F$1249:F2324))</f>
        <v>1008</v>
      </c>
      <c r="B2324" s="60" t="s">
        <v>662</v>
      </c>
      <c r="C2324" s="21" t="s">
        <v>440</v>
      </c>
      <c r="D2324" s="247"/>
      <c r="E2324" s="59">
        <v>223273</v>
      </c>
      <c r="F2324" s="59">
        <v>223273</v>
      </c>
      <c r="G2324" s="125">
        <f t="shared" si="56"/>
        <v>0</v>
      </c>
      <c r="H2324" s="247"/>
    </row>
    <row r="2325" spans="1:8" ht="16.5">
      <c r="A2325" s="3">
        <f>IF(F2325="","",COUNTA($F$1249:F2325))</f>
        <v>1009</v>
      </c>
      <c r="B2325" s="60" t="s">
        <v>663</v>
      </c>
      <c r="C2325" s="21" t="s">
        <v>440</v>
      </c>
      <c r="D2325" s="247"/>
      <c r="E2325" s="59">
        <v>285000</v>
      </c>
      <c r="F2325" s="59">
        <v>285000</v>
      </c>
      <c r="G2325" s="125">
        <f t="shared" si="56"/>
        <v>0</v>
      </c>
      <c r="H2325" s="247"/>
    </row>
    <row r="2326" spans="1:8" ht="16.5">
      <c r="A2326" s="3">
        <f>IF(F2326="","",COUNTA($F$1249:F2326))</f>
        <v>1010</v>
      </c>
      <c r="B2326" s="60" t="s">
        <v>664</v>
      </c>
      <c r="C2326" s="21" t="s">
        <v>440</v>
      </c>
      <c r="D2326" s="247"/>
      <c r="E2326" s="59">
        <v>372364</v>
      </c>
      <c r="F2326" s="59">
        <v>372364</v>
      </c>
      <c r="G2326" s="125">
        <f t="shared" si="56"/>
        <v>0</v>
      </c>
      <c r="H2326" s="247"/>
    </row>
    <row r="2327" spans="1:8" ht="16.5">
      <c r="A2327" s="3">
        <f>IF(F2327="","",COUNTA($F$1249:F2327))</f>
        <v>1011</v>
      </c>
      <c r="B2327" s="60" t="s">
        <v>665</v>
      </c>
      <c r="C2327" s="21" t="s">
        <v>440</v>
      </c>
      <c r="D2327" s="247"/>
      <c r="E2327" s="59">
        <v>422727</v>
      </c>
      <c r="F2327" s="59">
        <v>422727</v>
      </c>
      <c r="G2327" s="125">
        <f t="shared" si="56"/>
        <v>0</v>
      </c>
      <c r="H2327" s="247"/>
    </row>
    <row r="2328" spans="1:8" ht="16.5">
      <c r="A2328" s="3">
        <f>IF(F2328="","",COUNTA($F$1249:F2328))</f>
        <v>1012</v>
      </c>
      <c r="B2328" s="60" t="s">
        <v>666</v>
      </c>
      <c r="C2328" s="21" t="s">
        <v>440</v>
      </c>
      <c r="D2328" s="247"/>
      <c r="E2328" s="59">
        <v>325818</v>
      </c>
      <c r="F2328" s="59">
        <v>325818</v>
      </c>
      <c r="G2328" s="125">
        <f t="shared" si="56"/>
        <v>0</v>
      </c>
      <c r="H2328" s="247"/>
    </row>
    <row r="2329" spans="1:8" ht="16.5">
      <c r="A2329" s="3">
        <f>IF(F2329="","",COUNTA($F$1249:F2329))</f>
        <v>1013</v>
      </c>
      <c r="B2329" s="60" t="s">
        <v>667</v>
      </c>
      <c r="C2329" s="21" t="s">
        <v>440</v>
      </c>
      <c r="D2329" s="247"/>
      <c r="E2329" s="59">
        <v>399000</v>
      </c>
      <c r="F2329" s="59">
        <v>399000</v>
      </c>
      <c r="G2329" s="125">
        <f t="shared" si="56"/>
        <v>0</v>
      </c>
      <c r="H2329" s="247"/>
    </row>
    <row r="2330" spans="1:8" ht="16.5">
      <c r="A2330" s="3">
        <f>IF(F2330="","",COUNTA($F$1249:F2330))</f>
        <v>1014</v>
      </c>
      <c r="B2330" s="60" t="s">
        <v>668</v>
      </c>
      <c r="C2330" s="21" t="s">
        <v>440</v>
      </c>
      <c r="D2330" s="247"/>
      <c r="E2330" s="59">
        <v>556727</v>
      </c>
      <c r="F2330" s="59">
        <v>556727</v>
      </c>
      <c r="G2330" s="125">
        <f t="shared" si="56"/>
        <v>0</v>
      </c>
      <c r="H2330" s="247"/>
    </row>
    <row r="2331" spans="1:8" ht="16.5">
      <c r="A2331" s="3">
        <f>IF(F2331="","",COUNTA($F$1249:F2331))</f>
        <v>1015</v>
      </c>
      <c r="B2331" s="60" t="s">
        <v>669</v>
      </c>
      <c r="C2331" s="21" t="s">
        <v>440</v>
      </c>
      <c r="D2331" s="247"/>
      <c r="E2331" s="59">
        <v>608000</v>
      </c>
      <c r="F2331" s="59">
        <v>608000</v>
      </c>
      <c r="G2331" s="125">
        <f t="shared" si="56"/>
        <v>0</v>
      </c>
      <c r="H2331" s="247"/>
    </row>
    <row r="2332" spans="1:8" ht="16.5">
      <c r="A2332" s="3">
        <f>IF(F2332="","",COUNTA($F$1249:F2332))</f>
        <v>1016</v>
      </c>
      <c r="B2332" s="60" t="s">
        <v>670</v>
      </c>
      <c r="C2332" s="21" t="s">
        <v>440</v>
      </c>
      <c r="D2332" s="247"/>
      <c r="E2332" s="59">
        <v>521545</v>
      </c>
      <c r="F2332" s="59">
        <v>521545</v>
      </c>
      <c r="G2332" s="125">
        <f t="shared" si="56"/>
        <v>0</v>
      </c>
      <c r="H2332" s="247"/>
    </row>
    <row r="2333" spans="1:8" ht="16.5">
      <c r="A2333" s="3">
        <f>IF(F2333="","",COUNTA($F$1249:F2333))</f>
        <v>1017</v>
      </c>
      <c r="B2333" s="60" t="s">
        <v>671</v>
      </c>
      <c r="C2333" s="21" t="s">
        <v>440</v>
      </c>
      <c r="D2333" s="247"/>
      <c r="E2333" s="59">
        <v>608000</v>
      </c>
      <c r="F2333" s="59">
        <v>608000</v>
      </c>
      <c r="G2333" s="125">
        <f t="shared" si="56"/>
        <v>0</v>
      </c>
      <c r="H2333" s="247"/>
    </row>
    <row r="2334" spans="1:8" ht="16.5">
      <c r="A2334" s="3">
        <f>IF(F2334="","",COUNTA($F$1249:F2334))</f>
        <v>1018</v>
      </c>
      <c r="B2334" s="60" t="s">
        <v>672</v>
      </c>
      <c r="C2334" s="21" t="s">
        <v>440</v>
      </c>
      <c r="D2334" s="247"/>
      <c r="E2334" s="59">
        <v>783727</v>
      </c>
      <c r="F2334" s="59">
        <v>783727</v>
      </c>
      <c r="G2334" s="125">
        <f t="shared" si="56"/>
        <v>0</v>
      </c>
      <c r="H2334" s="247"/>
    </row>
    <row r="2335" spans="1:8" ht="16.5">
      <c r="A2335" s="3">
        <f>IF(F2335="","",COUNTA($F$1249:F2335))</f>
        <v>1019</v>
      </c>
      <c r="B2335" s="60" t="s">
        <v>673</v>
      </c>
      <c r="C2335" s="21" t="s">
        <v>440</v>
      </c>
      <c r="D2335" s="247"/>
      <c r="E2335" s="59">
        <v>902545</v>
      </c>
      <c r="F2335" s="59">
        <v>902545</v>
      </c>
      <c r="G2335" s="125">
        <f t="shared" si="56"/>
        <v>0</v>
      </c>
      <c r="H2335" s="247"/>
    </row>
    <row r="2336" spans="1:8" ht="17.25">
      <c r="A2336" s="3">
        <f>IF(F2336="","",COUNTA($F$1249:F2336))</f>
      </c>
      <c r="B2336" s="47" t="s">
        <v>674</v>
      </c>
      <c r="D2336" s="57"/>
      <c r="E2336" s="6"/>
      <c r="F2336" s="6"/>
      <c r="G2336" s="125" t="e">
        <f t="shared" si="56"/>
        <v>#DIV/0!</v>
      </c>
      <c r="H2336" s="247"/>
    </row>
    <row r="2337" spans="1:8" ht="16.5">
      <c r="A2337" s="3">
        <f>IF(F2337="","",COUNTA($F$1249:F2337))</f>
        <v>1020</v>
      </c>
      <c r="B2337" s="49" t="s">
        <v>675</v>
      </c>
      <c r="C2337" s="21" t="s">
        <v>440</v>
      </c>
      <c r="D2337" s="247" t="s">
        <v>676</v>
      </c>
      <c r="E2337" s="59">
        <v>455000</v>
      </c>
      <c r="F2337" s="59">
        <v>455000</v>
      </c>
      <c r="G2337" s="125">
        <f t="shared" si="56"/>
        <v>0</v>
      </c>
      <c r="H2337" s="247"/>
    </row>
    <row r="2338" spans="1:8" ht="16.5">
      <c r="A2338" s="3">
        <f>IF(F2338="","",COUNTA($F$1249:F2338))</f>
        <v>1021</v>
      </c>
      <c r="B2338" s="56" t="s">
        <v>677</v>
      </c>
      <c r="C2338" s="21" t="s">
        <v>440</v>
      </c>
      <c r="D2338" s="247"/>
      <c r="E2338" s="59">
        <v>510000</v>
      </c>
      <c r="F2338" s="59">
        <v>510000</v>
      </c>
      <c r="G2338" s="125">
        <f t="shared" si="56"/>
        <v>0</v>
      </c>
      <c r="H2338" s="247"/>
    </row>
    <row r="2339" spans="1:8" ht="16.5">
      <c r="A2339" s="3">
        <f>IF(F2339="","",COUNTA($F$1249:F2339))</f>
        <v>1022</v>
      </c>
      <c r="B2339" s="56" t="s">
        <v>678</v>
      </c>
      <c r="C2339" s="21" t="s">
        <v>440</v>
      </c>
      <c r="D2339" s="247"/>
      <c r="E2339" s="59">
        <v>600000</v>
      </c>
      <c r="F2339" s="59">
        <v>600000</v>
      </c>
      <c r="G2339" s="125">
        <f t="shared" si="56"/>
        <v>0</v>
      </c>
      <c r="H2339" s="247"/>
    </row>
    <row r="2340" spans="1:8" ht="16.5">
      <c r="A2340" s="3">
        <f>IF(F2340="","",COUNTA($F$1249:F2340))</f>
        <v>1023</v>
      </c>
      <c r="B2340" s="56" t="s">
        <v>679</v>
      </c>
      <c r="C2340" s="21" t="s">
        <v>440</v>
      </c>
      <c r="D2340" s="247"/>
      <c r="E2340" s="59">
        <v>672000</v>
      </c>
      <c r="F2340" s="59">
        <v>672000</v>
      </c>
      <c r="G2340" s="125">
        <f t="shared" si="56"/>
        <v>0</v>
      </c>
      <c r="H2340" s="247"/>
    </row>
    <row r="2341" spans="1:8" ht="16.5">
      <c r="A2341" s="3">
        <f>IF(F2341="","",COUNTA($F$1249:F2341))</f>
        <v>1024</v>
      </c>
      <c r="B2341" s="56" t="s">
        <v>680</v>
      </c>
      <c r="C2341" s="21" t="s">
        <v>440</v>
      </c>
      <c r="D2341" s="247"/>
      <c r="E2341" s="59">
        <v>645000</v>
      </c>
      <c r="F2341" s="59">
        <v>645000</v>
      </c>
      <c r="G2341" s="125">
        <f t="shared" si="56"/>
        <v>0</v>
      </c>
      <c r="H2341" s="247"/>
    </row>
    <row r="2342" spans="1:8" ht="16.5">
      <c r="A2342" s="3">
        <f>IF(F2342="","",COUNTA($F$1249:F2342))</f>
        <v>1025</v>
      </c>
      <c r="B2342" s="56" t="s">
        <v>681</v>
      </c>
      <c r="C2342" s="21" t="s">
        <v>440</v>
      </c>
      <c r="D2342" s="247"/>
      <c r="E2342" s="59">
        <v>800000</v>
      </c>
      <c r="F2342" s="59">
        <v>800000</v>
      </c>
      <c r="G2342" s="125">
        <f t="shared" si="56"/>
        <v>0</v>
      </c>
      <c r="H2342" s="247"/>
    </row>
    <row r="2343" spans="1:8" ht="16.5">
      <c r="A2343" s="3">
        <f>IF(F2343="","",COUNTA($F$1249:F2343))</f>
        <v>1026</v>
      </c>
      <c r="B2343" s="56" t="s">
        <v>682</v>
      </c>
      <c r="C2343" s="21" t="s">
        <v>440</v>
      </c>
      <c r="D2343" s="247"/>
      <c r="E2343" s="59">
        <v>1110000</v>
      </c>
      <c r="F2343" s="59">
        <v>1110000</v>
      </c>
      <c r="G2343" s="125">
        <f t="shared" si="56"/>
        <v>0</v>
      </c>
      <c r="H2343" s="247"/>
    </row>
    <row r="2344" spans="1:8" ht="16.5">
      <c r="A2344" s="3">
        <f>IF(F2344="","",COUNTA($F$1249:F2344))</f>
        <v>1027</v>
      </c>
      <c r="B2344" s="56" t="s">
        <v>683</v>
      </c>
      <c r="C2344" s="21" t="s">
        <v>440</v>
      </c>
      <c r="D2344" s="247"/>
      <c r="E2344" s="59">
        <v>1463000</v>
      </c>
      <c r="F2344" s="59">
        <v>1463000</v>
      </c>
      <c r="G2344" s="125">
        <f t="shared" si="56"/>
        <v>0</v>
      </c>
      <c r="H2344" s="247"/>
    </row>
    <row r="2345" spans="1:8" ht="16.5">
      <c r="A2345" s="3">
        <f>IF(F2345="","",COUNTA($F$1249:F2345))</f>
        <v>1028</v>
      </c>
      <c r="B2345" s="56" t="s">
        <v>684</v>
      </c>
      <c r="C2345" s="21" t="s">
        <v>440</v>
      </c>
      <c r="D2345" s="247"/>
      <c r="E2345" s="59">
        <v>1660000</v>
      </c>
      <c r="F2345" s="59">
        <v>1660000</v>
      </c>
      <c r="G2345" s="125">
        <f t="shared" si="56"/>
        <v>0</v>
      </c>
      <c r="H2345" s="247"/>
    </row>
    <row r="2346" spans="1:8" ht="16.5">
      <c r="A2346" s="3">
        <f>IF(F2346="","",COUNTA($F$1249:F2346))</f>
        <v>1029</v>
      </c>
      <c r="B2346" s="56" t="s">
        <v>685</v>
      </c>
      <c r="C2346" s="21" t="s">
        <v>440</v>
      </c>
      <c r="D2346" s="247"/>
      <c r="E2346" s="59">
        <v>2400000</v>
      </c>
      <c r="F2346" s="59">
        <v>2400000</v>
      </c>
      <c r="G2346" s="125">
        <f t="shared" si="56"/>
        <v>0</v>
      </c>
      <c r="H2346" s="247"/>
    </row>
    <row r="2347" spans="1:8" ht="16.5">
      <c r="A2347" s="3">
        <f>IF(F2347="","",COUNTA($F$1249:F2347))</f>
        <v>1030</v>
      </c>
      <c r="B2347" s="56" t="s">
        <v>686</v>
      </c>
      <c r="C2347" s="21" t="s">
        <v>440</v>
      </c>
      <c r="D2347" s="247"/>
      <c r="E2347" s="59">
        <v>2488000</v>
      </c>
      <c r="F2347" s="59">
        <v>2488000</v>
      </c>
      <c r="G2347" s="125">
        <f t="shared" si="56"/>
        <v>0</v>
      </c>
      <c r="H2347" s="247"/>
    </row>
    <row r="2348" spans="1:8" ht="16.5">
      <c r="A2348" s="3">
        <f>IF(F2348="","",COUNTA($F$1249:F2348))</f>
        <v>1031</v>
      </c>
      <c r="B2348" s="56" t="s">
        <v>687</v>
      </c>
      <c r="C2348" s="21" t="s">
        <v>440</v>
      </c>
      <c r="D2348" s="247"/>
      <c r="E2348" s="59">
        <v>3012000</v>
      </c>
      <c r="F2348" s="59">
        <v>3012000</v>
      </c>
      <c r="G2348" s="125">
        <f t="shared" si="56"/>
        <v>0</v>
      </c>
      <c r="H2348" s="247"/>
    </row>
    <row r="2349" spans="1:8" ht="17.25">
      <c r="A2349" s="3">
        <f>IF(F2349="","",COUNTA($F$1249:F2349))</f>
      </c>
      <c r="B2349" s="61" t="s">
        <v>688</v>
      </c>
      <c r="D2349" s="57"/>
      <c r="E2349" s="6"/>
      <c r="F2349" s="6"/>
      <c r="G2349" s="125" t="e">
        <f t="shared" si="56"/>
        <v>#DIV/0!</v>
      </c>
      <c r="H2349" s="247"/>
    </row>
    <row r="2350" spans="1:8" ht="16.5">
      <c r="A2350" s="3">
        <f>IF(F2350="","",COUNTA($F$1249:F2350))</f>
        <v>1032</v>
      </c>
      <c r="B2350" s="56" t="s">
        <v>689</v>
      </c>
      <c r="C2350" s="21" t="s">
        <v>440</v>
      </c>
      <c r="D2350" s="247" t="s">
        <v>690</v>
      </c>
      <c r="E2350" s="59">
        <v>78100</v>
      </c>
      <c r="F2350" s="59">
        <v>78100</v>
      </c>
      <c r="G2350" s="125">
        <f t="shared" si="56"/>
        <v>0</v>
      </c>
      <c r="H2350" s="247"/>
    </row>
    <row r="2351" spans="1:8" ht="16.5">
      <c r="A2351" s="3">
        <f>IF(F2351="","",COUNTA($F$1249:F2351))</f>
        <v>1033</v>
      </c>
      <c r="B2351" s="56" t="s">
        <v>691</v>
      </c>
      <c r="C2351" s="21" t="s">
        <v>440</v>
      </c>
      <c r="D2351" s="247"/>
      <c r="E2351" s="59">
        <v>121400</v>
      </c>
      <c r="F2351" s="59">
        <v>121400</v>
      </c>
      <c r="G2351" s="125">
        <f t="shared" si="56"/>
        <v>0</v>
      </c>
      <c r="H2351" s="247"/>
    </row>
    <row r="2352" spans="1:8" ht="16.5">
      <c r="A2352" s="3">
        <f>IF(F2352="","",COUNTA($F$1249:F2352))</f>
        <v>1034</v>
      </c>
      <c r="B2352" s="56" t="s">
        <v>692</v>
      </c>
      <c r="C2352" s="21" t="s">
        <v>440</v>
      </c>
      <c r="D2352" s="247"/>
      <c r="E2352" s="59">
        <v>165800</v>
      </c>
      <c r="F2352" s="59">
        <v>165800</v>
      </c>
      <c r="G2352" s="125">
        <f t="shared" si="56"/>
        <v>0</v>
      </c>
      <c r="H2352" s="247"/>
    </row>
    <row r="2353" spans="1:8" ht="16.5">
      <c r="A2353" s="3">
        <f>IF(F2353="","",COUNTA($F$1249:F2353))</f>
        <v>1035</v>
      </c>
      <c r="B2353" s="56" t="s">
        <v>693</v>
      </c>
      <c r="C2353" s="21" t="s">
        <v>440</v>
      </c>
      <c r="D2353" s="247"/>
      <c r="E2353" s="59">
        <v>247200</v>
      </c>
      <c r="F2353" s="59">
        <v>247200</v>
      </c>
      <c r="G2353" s="125">
        <f t="shared" si="56"/>
        <v>0</v>
      </c>
      <c r="H2353" s="247"/>
    </row>
    <row r="2354" spans="1:8" ht="16.5">
      <c r="A2354" s="3">
        <f>IF(F2354="","",COUNTA($F$1249:F2354))</f>
        <v>1036</v>
      </c>
      <c r="B2354" s="56" t="s">
        <v>694</v>
      </c>
      <c r="C2354" s="21" t="s">
        <v>440</v>
      </c>
      <c r="D2354" s="247"/>
      <c r="E2354" s="59">
        <v>295500</v>
      </c>
      <c r="F2354" s="59">
        <v>295500</v>
      </c>
      <c r="G2354" s="125">
        <f t="shared" si="56"/>
        <v>0</v>
      </c>
      <c r="H2354" s="247"/>
    </row>
    <row r="2355" spans="1:9" ht="17.25" customHeight="1">
      <c r="A2355" s="3">
        <f>IF(F2355="","",COUNTA($F$1249:F2355))</f>
      </c>
      <c r="B2355" s="61" t="s">
        <v>1225</v>
      </c>
      <c r="C2355" s="57"/>
      <c r="D2355" s="57"/>
      <c r="E2355" s="89"/>
      <c r="F2355" s="89"/>
      <c r="G2355" s="125" t="e">
        <f t="shared" si="56"/>
        <v>#DIV/0!</v>
      </c>
      <c r="H2355" s="247" t="s">
        <v>0</v>
      </c>
      <c r="I2355" s="45"/>
    </row>
    <row r="2356" spans="1:9" ht="82.5">
      <c r="A2356" s="3">
        <f>IF(F2356="","",COUNTA($F$1249:F2356))</f>
        <v>1037</v>
      </c>
      <c r="B2356" s="46" t="s">
        <v>1226</v>
      </c>
      <c r="C2356" s="57" t="s">
        <v>1944</v>
      </c>
      <c r="D2356" s="57" t="s">
        <v>1227</v>
      </c>
      <c r="E2356" s="89">
        <v>3150000</v>
      </c>
      <c r="F2356" s="89">
        <v>3150000</v>
      </c>
      <c r="G2356" s="125">
        <f t="shared" si="56"/>
        <v>0</v>
      </c>
      <c r="H2356" s="247"/>
      <c r="I2356" s="45"/>
    </row>
    <row r="2357" spans="1:9" ht="82.5">
      <c r="A2357" s="3">
        <f>IF(F2357="","",COUNTA($F$1249:F2357))</f>
        <v>1038</v>
      </c>
      <c r="B2357" s="46" t="s">
        <v>1228</v>
      </c>
      <c r="C2357" s="57" t="s">
        <v>1944</v>
      </c>
      <c r="D2357" s="57" t="s">
        <v>1229</v>
      </c>
      <c r="E2357" s="89">
        <v>6090000</v>
      </c>
      <c r="F2357" s="89">
        <v>6090000</v>
      </c>
      <c r="G2357" s="125">
        <f t="shared" si="56"/>
        <v>0</v>
      </c>
      <c r="H2357" s="247"/>
      <c r="I2357" s="45"/>
    </row>
    <row r="2358" spans="1:9" ht="49.5">
      <c r="A2358" s="3">
        <f>IF(F2358="","",COUNTA($F$1249:F2358))</f>
        <v>1039</v>
      </c>
      <c r="B2358" s="46" t="s">
        <v>1230</v>
      </c>
      <c r="C2358" s="57" t="s">
        <v>1944</v>
      </c>
      <c r="D2358" s="57" t="s">
        <v>1231</v>
      </c>
      <c r="E2358" s="89">
        <v>2975000</v>
      </c>
      <c r="F2358" s="89">
        <v>2975000</v>
      </c>
      <c r="G2358" s="125">
        <f t="shared" si="56"/>
        <v>0</v>
      </c>
      <c r="H2358" s="247"/>
      <c r="I2358" s="45"/>
    </row>
    <row r="2359" spans="1:9" ht="49.5">
      <c r="A2359" s="3">
        <f>IF(F2359="","",COUNTA($F$1249:F2359))</f>
        <v>1040</v>
      </c>
      <c r="B2359" s="46" t="s">
        <v>1232</v>
      </c>
      <c r="C2359" s="57" t="s">
        <v>1944</v>
      </c>
      <c r="D2359" s="57" t="s">
        <v>1231</v>
      </c>
      <c r="E2359" s="89">
        <v>3710000</v>
      </c>
      <c r="F2359" s="89">
        <v>3710000</v>
      </c>
      <c r="G2359" s="125">
        <f t="shared" si="56"/>
        <v>0</v>
      </c>
      <c r="H2359" s="247"/>
      <c r="I2359" s="45"/>
    </row>
    <row r="2360" spans="1:9" ht="49.5">
      <c r="A2360" s="3">
        <f>IF(F2360="","",COUNTA($F$1249:F2360))</f>
        <v>1041</v>
      </c>
      <c r="B2360" s="46" t="s">
        <v>1233</v>
      </c>
      <c r="C2360" s="57" t="s">
        <v>1944</v>
      </c>
      <c r="D2360" s="57" t="s">
        <v>1231</v>
      </c>
      <c r="E2360" s="89">
        <v>3937500</v>
      </c>
      <c r="F2360" s="89">
        <v>3937500</v>
      </c>
      <c r="G2360" s="125">
        <f aca="true" t="shared" si="57" ref="G2360:G2423">(E2360-F2360)/E2360</f>
        <v>0</v>
      </c>
      <c r="H2360" s="247"/>
      <c r="I2360" s="45"/>
    </row>
    <row r="2361" spans="1:9" ht="49.5">
      <c r="A2361" s="3">
        <f>IF(F2361="","",COUNTA($F$1249:F2361))</f>
        <v>1042</v>
      </c>
      <c r="B2361" s="46" t="s">
        <v>1234</v>
      </c>
      <c r="C2361" s="57" t="s">
        <v>1944</v>
      </c>
      <c r="D2361" s="57" t="s">
        <v>1231</v>
      </c>
      <c r="E2361" s="89">
        <v>4725000</v>
      </c>
      <c r="F2361" s="89">
        <v>4725000</v>
      </c>
      <c r="G2361" s="125">
        <f t="shared" si="57"/>
        <v>0</v>
      </c>
      <c r="H2361" s="247"/>
      <c r="I2361" s="45"/>
    </row>
    <row r="2362" spans="1:9" ht="49.5">
      <c r="A2362" s="3">
        <f>IF(F2362="","",COUNTA($F$1249:F2362))</f>
        <v>1043</v>
      </c>
      <c r="B2362" s="46" t="s">
        <v>1235</v>
      </c>
      <c r="C2362" s="57" t="s">
        <v>1944</v>
      </c>
      <c r="D2362" s="57" t="s">
        <v>1231</v>
      </c>
      <c r="E2362" s="89">
        <v>7000000</v>
      </c>
      <c r="F2362" s="89">
        <v>7000000</v>
      </c>
      <c r="G2362" s="125">
        <f t="shared" si="57"/>
        <v>0</v>
      </c>
      <c r="H2362" s="247"/>
      <c r="I2362" s="45"/>
    </row>
    <row r="2363" spans="1:9" ht="49.5">
      <c r="A2363" s="3">
        <f>IF(F2363="","",COUNTA($F$1249:F2363))</f>
        <v>1044</v>
      </c>
      <c r="B2363" s="46" t="s">
        <v>1236</v>
      </c>
      <c r="C2363" s="57" t="s">
        <v>1944</v>
      </c>
      <c r="D2363" s="57" t="s">
        <v>1231</v>
      </c>
      <c r="E2363" s="89">
        <v>8325000</v>
      </c>
      <c r="F2363" s="89">
        <v>8325000</v>
      </c>
      <c r="G2363" s="125">
        <f t="shared" si="57"/>
        <v>0</v>
      </c>
      <c r="H2363" s="247"/>
      <c r="I2363" s="45"/>
    </row>
    <row r="2364" spans="1:9" ht="49.5">
      <c r="A2364" s="3">
        <f>IF(F2364="","",COUNTA($F$1249:F2364))</f>
        <v>1045</v>
      </c>
      <c r="B2364" s="46" t="s">
        <v>1237</v>
      </c>
      <c r="C2364" s="57" t="s">
        <v>1944</v>
      </c>
      <c r="D2364" s="57" t="s">
        <v>1231</v>
      </c>
      <c r="E2364" s="89">
        <v>14000000</v>
      </c>
      <c r="F2364" s="89">
        <v>14000000</v>
      </c>
      <c r="G2364" s="125">
        <f t="shared" si="57"/>
        <v>0</v>
      </c>
      <c r="H2364" s="247"/>
      <c r="I2364" s="45"/>
    </row>
    <row r="2365" spans="1:9" ht="17.25">
      <c r="A2365" s="3">
        <f>IF(F2365="","",COUNTA($F$1249:F2365))</f>
      </c>
      <c r="B2365" s="61" t="s">
        <v>1238</v>
      </c>
      <c r="C2365" s="57"/>
      <c r="D2365" s="57"/>
      <c r="E2365" s="89"/>
      <c r="F2365" s="89"/>
      <c r="G2365" s="125" t="e">
        <f t="shared" si="57"/>
        <v>#DIV/0!</v>
      </c>
      <c r="H2365" s="247"/>
      <c r="I2365" s="45"/>
    </row>
    <row r="2366" spans="1:9" ht="51.75">
      <c r="A2366" s="3">
        <f>IF(F2366="","",COUNTA($F$1249:F2366))</f>
      </c>
      <c r="B2366" s="61" t="s">
        <v>1239</v>
      </c>
      <c r="C2366" s="57" t="s">
        <v>1950</v>
      </c>
      <c r="D2366" s="57" t="s">
        <v>1240</v>
      </c>
      <c r="E2366" s="89"/>
      <c r="F2366" s="89"/>
      <c r="G2366" s="125" t="e">
        <f t="shared" si="57"/>
        <v>#DIV/0!</v>
      </c>
      <c r="H2366" s="247"/>
      <c r="I2366" s="45"/>
    </row>
    <row r="2367" spans="1:9" ht="33">
      <c r="A2367" s="3">
        <f>IF(F2367="","",COUNTA($F$1249:F2367))</f>
        <v>1046</v>
      </c>
      <c r="B2367" s="46" t="s">
        <v>1241</v>
      </c>
      <c r="C2367" s="57" t="s">
        <v>1950</v>
      </c>
      <c r="D2367" s="57" t="s">
        <v>1242</v>
      </c>
      <c r="E2367" s="89">
        <v>424000</v>
      </c>
      <c r="F2367" s="89">
        <v>424000</v>
      </c>
      <c r="G2367" s="125">
        <f t="shared" si="57"/>
        <v>0</v>
      </c>
      <c r="H2367" s="247"/>
      <c r="I2367" s="45"/>
    </row>
    <row r="2368" spans="1:9" ht="33">
      <c r="A2368" s="3">
        <f>IF(F2368="","",COUNTA($F$1249:F2368))</f>
        <v>1047</v>
      </c>
      <c r="B2368" s="46" t="s">
        <v>1243</v>
      </c>
      <c r="C2368" s="57" t="s">
        <v>1950</v>
      </c>
      <c r="D2368" s="57" t="s">
        <v>1242</v>
      </c>
      <c r="E2368" s="89">
        <v>465000</v>
      </c>
      <c r="F2368" s="89">
        <v>465000</v>
      </c>
      <c r="G2368" s="125">
        <f t="shared" si="57"/>
        <v>0</v>
      </c>
      <c r="H2368" s="247"/>
      <c r="I2368" s="45"/>
    </row>
    <row r="2369" spans="1:9" ht="33">
      <c r="A2369" s="3">
        <f>IF(F2369="","",COUNTA($F$1249:F2369))</f>
        <v>1048</v>
      </c>
      <c r="B2369" s="46" t="s">
        <v>1244</v>
      </c>
      <c r="C2369" s="57" t="s">
        <v>1950</v>
      </c>
      <c r="D2369" s="57" t="s">
        <v>1242</v>
      </c>
      <c r="E2369" s="89">
        <v>647000</v>
      </c>
      <c r="F2369" s="89">
        <v>647000</v>
      </c>
      <c r="G2369" s="125">
        <f t="shared" si="57"/>
        <v>0</v>
      </c>
      <c r="H2369" s="247"/>
      <c r="I2369" s="45"/>
    </row>
    <row r="2370" spans="1:9" ht="33">
      <c r="A2370" s="3">
        <f>IF(F2370="","",COUNTA($F$1249:F2370))</f>
        <v>1049</v>
      </c>
      <c r="B2370" s="46" t="s">
        <v>1245</v>
      </c>
      <c r="C2370" s="57" t="s">
        <v>1950</v>
      </c>
      <c r="D2370" s="57" t="s">
        <v>1242</v>
      </c>
      <c r="E2370" s="89">
        <v>794000</v>
      </c>
      <c r="F2370" s="89">
        <v>794000</v>
      </c>
      <c r="G2370" s="125">
        <f t="shared" si="57"/>
        <v>0</v>
      </c>
      <c r="H2370" s="247"/>
      <c r="I2370" s="45"/>
    </row>
    <row r="2371" spans="1:9" ht="33">
      <c r="A2371" s="3">
        <f>IF(F2371="","",COUNTA($F$1249:F2371))</f>
        <v>1050</v>
      </c>
      <c r="B2371" s="46" t="s">
        <v>1246</v>
      </c>
      <c r="C2371" s="57" t="s">
        <v>1950</v>
      </c>
      <c r="D2371" s="57" t="s">
        <v>1242</v>
      </c>
      <c r="E2371" s="89">
        <v>877000</v>
      </c>
      <c r="F2371" s="89">
        <v>877000</v>
      </c>
      <c r="G2371" s="125">
        <f t="shared" si="57"/>
        <v>0</v>
      </c>
      <c r="H2371" s="247"/>
      <c r="I2371" s="45"/>
    </row>
    <row r="2372" spans="1:9" ht="33">
      <c r="A2372" s="3">
        <f>IF(F2372="","",COUNTA($F$1249:F2372))</f>
        <v>1051</v>
      </c>
      <c r="B2372" s="46" t="s">
        <v>1247</v>
      </c>
      <c r="C2372" s="57" t="s">
        <v>1950</v>
      </c>
      <c r="D2372" s="57" t="s">
        <v>1242</v>
      </c>
      <c r="E2372" s="89">
        <v>995000</v>
      </c>
      <c r="F2372" s="89">
        <v>995000</v>
      </c>
      <c r="G2372" s="125">
        <f t="shared" si="57"/>
        <v>0</v>
      </c>
      <c r="H2372" s="247"/>
      <c r="I2372" s="45"/>
    </row>
    <row r="2373" spans="1:9" ht="33">
      <c r="A2373" s="3">
        <f>IF(F2373="","",COUNTA($F$1249:F2373))</f>
        <v>1052</v>
      </c>
      <c r="B2373" s="46" t="s">
        <v>1248</v>
      </c>
      <c r="C2373" s="57" t="s">
        <v>1950</v>
      </c>
      <c r="D2373" s="57" t="s">
        <v>1242</v>
      </c>
      <c r="E2373" s="89">
        <v>1182000</v>
      </c>
      <c r="F2373" s="89">
        <v>1182000</v>
      </c>
      <c r="G2373" s="125">
        <f t="shared" si="57"/>
        <v>0</v>
      </c>
      <c r="H2373" s="247"/>
      <c r="I2373" s="45"/>
    </row>
    <row r="2374" spans="1:9" ht="33">
      <c r="A2374" s="3">
        <f>IF(F2374="","",COUNTA($F$1249:F2374))</f>
        <v>1053</v>
      </c>
      <c r="B2374" s="46" t="s">
        <v>1249</v>
      </c>
      <c r="C2374" s="57" t="s">
        <v>1950</v>
      </c>
      <c r="D2374" s="57" t="s">
        <v>1242</v>
      </c>
      <c r="E2374" s="89">
        <v>1364000</v>
      </c>
      <c r="F2374" s="89">
        <v>1364000</v>
      </c>
      <c r="G2374" s="125">
        <f t="shared" si="57"/>
        <v>0</v>
      </c>
      <c r="H2374" s="247"/>
      <c r="I2374" s="45"/>
    </row>
    <row r="2375" spans="1:9" ht="33">
      <c r="A2375" s="3">
        <f>IF(F2375="","",COUNTA($F$1249:F2375))</f>
        <v>1054</v>
      </c>
      <c r="B2375" s="46" t="s">
        <v>1250</v>
      </c>
      <c r="C2375" s="57" t="s">
        <v>1950</v>
      </c>
      <c r="D2375" s="57" t="s">
        <v>1242</v>
      </c>
      <c r="E2375" s="89">
        <v>1653000</v>
      </c>
      <c r="F2375" s="89">
        <v>1653000</v>
      </c>
      <c r="G2375" s="125">
        <f t="shared" si="57"/>
        <v>0</v>
      </c>
      <c r="H2375" s="247"/>
      <c r="I2375" s="45"/>
    </row>
    <row r="2376" spans="1:9" ht="33">
      <c r="A2376" s="3">
        <f>IF(F2376="","",COUNTA($F$1249:F2376))</f>
        <v>1055</v>
      </c>
      <c r="B2376" s="46" t="s">
        <v>1251</v>
      </c>
      <c r="C2376" s="57" t="s">
        <v>1950</v>
      </c>
      <c r="D2376" s="57" t="s">
        <v>1242</v>
      </c>
      <c r="E2376" s="89">
        <v>1766000</v>
      </c>
      <c r="F2376" s="89">
        <v>1766000</v>
      </c>
      <c r="G2376" s="125">
        <f t="shared" si="57"/>
        <v>0</v>
      </c>
      <c r="H2376" s="247"/>
      <c r="I2376" s="45"/>
    </row>
    <row r="2377" spans="1:9" ht="33">
      <c r="A2377" s="3">
        <f>IF(F2377="","",COUNTA($F$1249:F2377))</f>
        <v>1056</v>
      </c>
      <c r="B2377" s="46" t="s">
        <v>1252</v>
      </c>
      <c r="C2377" s="57" t="s">
        <v>1950</v>
      </c>
      <c r="D2377" s="57" t="s">
        <v>1242</v>
      </c>
      <c r="E2377" s="89">
        <v>2370000</v>
      </c>
      <c r="F2377" s="89">
        <v>2370000</v>
      </c>
      <c r="G2377" s="125">
        <f t="shared" si="57"/>
        <v>0</v>
      </c>
      <c r="H2377" s="247"/>
      <c r="I2377" s="45"/>
    </row>
    <row r="2378" spans="1:9" ht="33">
      <c r="A2378" s="3">
        <f>IF(F2378="","",COUNTA($F$1249:F2378))</f>
        <v>1057</v>
      </c>
      <c r="B2378" s="46" t="s">
        <v>1253</v>
      </c>
      <c r="C2378" s="57" t="s">
        <v>1950</v>
      </c>
      <c r="D2378" s="57" t="s">
        <v>1242</v>
      </c>
      <c r="E2378" s="89">
        <v>2836000</v>
      </c>
      <c r="F2378" s="89">
        <v>2836000</v>
      </c>
      <c r="G2378" s="125">
        <f t="shared" si="57"/>
        <v>0</v>
      </c>
      <c r="H2378" s="247"/>
      <c r="I2378" s="45"/>
    </row>
    <row r="2379" spans="1:9" ht="33">
      <c r="A2379" s="3">
        <f>IF(F2379="","",COUNTA($F$1249:F2379))</f>
        <v>1058</v>
      </c>
      <c r="B2379" s="46" t="s">
        <v>1254</v>
      </c>
      <c r="C2379" s="57" t="s">
        <v>1950</v>
      </c>
      <c r="D2379" s="57" t="s">
        <v>1242</v>
      </c>
      <c r="E2379" s="89">
        <v>3050000</v>
      </c>
      <c r="F2379" s="89">
        <v>3050000</v>
      </c>
      <c r="G2379" s="125">
        <f t="shared" si="57"/>
        <v>0</v>
      </c>
      <c r="H2379" s="247"/>
      <c r="I2379" s="45"/>
    </row>
    <row r="2380" spans="1:9" ht="33">
      <c r="A2380" s="3">
        <f>IF(F2380="","",COUNTA($F$1249:F2380))</f>
        <v>1059</v>
      </c>
      <c r="B2380" s="46" t="s">
        <v>1255</v>
      </c>
      <c r="C2380" s="57" t="s">
        <v>1950</v>
      </c>
      <c r="D2380" s="57" t="s">
        <v>1242</v>
      </c>
      <c r="E2380" s="89">
        <v>4280000</v>
      </c>
      <c r="F2380" s="89">
        <v>4280000</v>
      </c>
      <c r="G2380" s="125">
        <f t="shared" si="57"/>
        <v>0</v>
      </c>
      <c r="H2380" s="247"/>
      <c r="I2380" s="45"/>
    </row>
    <row r="2381" spans="1:9" ht="33">
      <c r="A2381" s="3">
        <f>IF(F2381="","",COUNTA($F$1249:F2381))</f>
        <v>1060</v>
      </c>
      <c r="B2381" s="46" t="s">
        <v>1256</v>
      </c>
      <c r="C2381" s="57" t="s">
        <v>1950</v>
      </c>
      <c r="D2381" s="57" t="s">
        <v>1242</v>
      </c>
      <c r="E2381" s="89">
        <v>5083000</v>
      </c>
      <c r="F2381" s="89">
        <v>5083000</v>
      </c>
      <c r="G2381" s="125">
        <f t="shared" si="57"/>
        <v>0</v>
      </c>
      <c r="H2381" s="247"/>
      <c r="I2381" s="45"/>
    </row>
    <row r="2382" spans="1:9" ht="33">
      <c r="A2382" s="3">
        <f>IF(F2382="","",COUNTA($F$1249:F2382))</f>
        <v>1061</v>
      </c>
      <c r="B2382" s="46" t="s">
        <v>1257</v>
      </c>
      <c r="C2382" s="57" t="s">
        <v>1950</v>
      </c>
      <c r="D2382" s="57" t="s">
        <v>1242</v>
      </c>
      <c r="E2382" s="89">
        <v>6581000</v>
      </c>
      <c r="F2382" s="89">
        <v>6581000</v>
      </c>
      <c r="G2382" s="125">
        <f t="shared" si="57"/>
        <v>0</v>
      </c>
      <c r="H2382" s="247"/>
      <c r="I2382" s="45"/>
    </row>
    <row r="2383" spans="1:9" ht="51.75">
      <c r="A2383" s="3">
        <f>IF(F2383="","",COUNTA($F$1249:F2383))</f>
      </c>
      <c r="B2383" s="61" t="s">
        <v>1258</v>
      </c>
      <c r="C2383" s="57"/>
      <c r="D2383" s="57" t="s">
        <v>1240</v>
      </c>
      <c r="E2383" s="89"/>
      <c r="F2383" s="89"/>
      <c r="G2383" s="125" t="e">
        <f t="shared" si="57"/>
        <v>#DIV/0!</v>
      </c>
      <c r="H2383" s="247"/>
      <c r="I2383" s="45"/>
    </row>
    <row r="2384" spans="1:9" ht="33">
      <c r="A2384" s="3">
        <f>IF(F2384="","",COUNTA($F$1249:F2384))</f>
        <v>1062</v>
      </c>
      <c r="B2384" s="46" t="s">
        <v>1259</v>
      </c>
      <c r="C2384" s="57" t="s">
        <v>1950</v>
      </c>
      <c r="D2384" s="57" t="s">
        <v>1242</v>
      </c>
      <c r="E2384" s="89">
        <v>535000</v>
      </c>
      <c r="F2384" s="89">
        <v>535000</v>
      </c>
      <c r="G2384" s="125">
        <f t="shared" si="57"/>
        <v>0</v>
      </c>
      <c r="H2384" s="247"/>
      <c r="I2384" s="45"/>
    </row>
    <row r="2385" spans="1:9" ht="33">
      <c r="A2385" s="3">
        <f>IF(F2385="","",COUNTA($F$1249:F2385))</f>
        <v>1063</v>
      </c>
      <c r="B2385" s="46" t="s">
        <v>1260</v>
      </c>
      <c r="C2385" s="57" t="s">
        <v>1950</v>
      </c>
      <c r="D2385" s="57" t="s">
        <v>1242</v>
      </c>
      <c r="E2385" s="89">
        <v>642000</v>
      </c>
      <c r="F2385" s="89">
        <v>642000</v>
      </c>
      <c r="G2385" s="125">
        <f t="shared" si="57"/>
        <v>0</v>
      </c>
      <c r="H2385" s="247"/>
      <c r="I2385" s="45"/>
    </row>
    <row r="2386" spans="1:9" ht="33">
      <c r="A2386" s="3">
        <f>IF(F2386="","",COUNTA($F$1249:F2386))</f>
        <v>1064</v>
      </c>
      <c r="B2386" s="46" t="s">
        <v>1261</v>
      </c>
      <c r="C2386" s="57" t="s">
        <v>1950</v>
      </c>
      <c r="D2386" s="57" t="s">
        <v>1242</v>
      </c>
      <c r="E2386" s="89">
        <v>803000</v>
      </c>
      <c r="F2386" s="89">
        <v>803000</v>
      </c>
      <c r="G2386" s="125">
        <f t="shared" si="57"/>
        <v>0</v>
      </c>
      <c r="H2386" s="247"/>
      <c r="I2386" s="45"/>
    </row>
    <row r="2387" spans="1:9" ht="33">
      <c r="A2387" s="3">
        <f>IF(F2387="","",COUNTA($F$1249:F2387))</f>
        <v>1065</v>
      </c>
      <c r="B2387" s="46" t="s">
        <v>1262</v>
      </c>
      <c r="C2387" s="57" t="s">
        <v>1950</v>
      </c>
      <c r="D2387" s="57" t="s">
        <v>1242</v>
      </c>
      <c r="E2387" s="89">
        <v>995000</v>
      </c>
      <c r="F2387" s="89">
        <v>995000</v>
      </c>
      <c r="G2387" s="125">
        <f t="shared" si="57"/>
        <v>0</v>
      </c>
      <c r="H2387" s="247"/>
      <c r="I2387" s="45"/>
    </row>
    <row r="2388" spans="1:9" ht="33">
      <c r="A2388" s="3">
        <f>IF(F2388="","",COUNTA($F$1249:F2388))</f>
        <v>1066</v>
      </c>
      <c r="B2388" s="46" t="s">
        <v>1263</v>
      </c>
      <c r="C2388" s="57" t="s">
        <v>1950</v>
      </c>
      <c r="D2388" s="57" t="s">
        <v>1242</v>
      </c>
      <c r="E2388" s="89">
        <v>1118000</v>
      </c>
      <c r="F2388" s="89">
        <v>1118000</v>
      </c>
      <c r="G2388" s="125">
        <f t="shared" si="57"/>
        <v>0</v>
      </c>
      <c r="H2388" s="247"/>
      <c r="I2388" s="45"/>
    </row>
    <row r="2389" spans="1:9" ht="33">
      <c r="A2389" s="3">
        <f>IF(F2389="","",COUNTA($F$1249:F2389))</f>
        <v>1067</v>
      </c>
      <c r="B2389" s="46" t="s">
        <v>1264</v>
      </c>
      <c r="C2389" s="57" t="s">
        <v>1950</v>
      </c>
      <c r="D2389" s="57" t="s">
        <v>1242</v>
      </c>
      <c r="E2389" s="89">
        <v>1195000</v>
      </c>
      <c r="F2389" s="89">
        <v>1195000</v>
      </c>
      <c r="G2389" s="125">
        <f t="shared" si="57"/>
        <v>0</v>
      </c>
      <c r="H2389" s="247"/>
      <c r="I2389" s="45"/>
    </row>
    <row r="2390" spans="1:9" ht="33">
      <c r="A2390" s="3">
        <f>IF(F2390="","",COUNTA($F$1249:F2390))</f>
        <v>1068</v>
      </c>
      <c r="B2390" s="46" t="s">
        <v>1265</v>
      </c>
      <c r="C2390" s="57" t="s">
        <v>1950</v>
      </c>
      <c r="D2390" s="57" t="s">
        <v>1242</v>
      </c>
      <c r="E2390" s="89">
        <v>1407000</v>
      </c>
      <c r="F2390" s="89">
        <v>1407000</v>
      </c>
      <c r="G2390" s="125">
        <f t="shared" si="57"/>
        <v>0</v>
      </c>
      <c r="H2390" s="247"/>
      <c r="I2390" s="45"/>
    </row>
    <row r="2391" spans="1:9" ht="33">
      <c r="A2391" s="3">
        <f>IF(F2391="","",COUNTA($F$1249:F2391))</f>
        <v>1069</v>
      </c>
      <c r="B2391" s="46" t="s">
        <v>1266</v>
      </c>
      <c r="C2391" s="57" t="s">
        <v>1950</v>
      </c>
      <c r="D2391" s="57" t="s">
        <v>1242</v>
      </c>
      <c r="E2391" s="89">
        <v>1584000</v>
      </c>
      <c r="F2391" s="89">
        <v>1584000</v>
      </c>
      <c r="G2391" s="125">
        <f t="shared" si="57"/>
        <v>0</v>
      </c>
      <c r="H2391" s="247"/>
      <c r="I2391" s="45"/>
    </row>
    <row r="2392" spans="1:9" ht="33">
      <c r="A2392" s="3">
        <f>IF(F2392="","",COUNTA($F$1249:F2392))</f>
        <v>1070</v>
      </c>
      <c r="B2392" s="46" t="s">
        <v>1267</v>
      </c>
      <c r="C2392" s="57" t="s">
        <v>1950</v>
      </c>
      <c r="D2392" s="57" t="s">
        <v>1242</v>
      </c>
      <c r="E2392" s="89">
        <v>1766000</v>
      </c>
      <c r="F2392" s="89">
        <v>1766000</v>
      </c>
      <c r="G2392" s="125">
        <f t="shared" si="57"/>
        <v>0</v>
      </c>
      <c r="H2392" s="247"/>
      <c r="I2392" s="45"/>
    </row>
    <row r="2393" spans="1:9" ht="33">
      <c r="A2393" s="3">
        <f>IF(F2393="","",COUNTA($F$1249:F2393))</f>
        <v>1071</v>
      </c>
      <c r="B2393" s="46" t="s">
        <v>1268</v>
      </c>
      <c r="C2393" s="57" t="s">
        <v>1950</v>
      </c>
      <c r="D2393" s="57" t="s">
        <v>1242</v>
      </c>
      <c r="E2393" s="89">
        <v>2033000</v>
      </c>
      <c r="F2393" s="89">
        <v>2033000</v>
      </c>
      <c r="G2393" s="125">
        <f t="shared" si="57"/>
        <v>0</v>
      </c>
      <c r="H2393" s="247"/>
      <c r="I2393" s="45"/>
    </row>
    <row r="2394" spans="1:9" ht="33">
      <c r="A2394" s="3">
        <f>IF(F2394="","",COUNTA($F$1249:F2394))</f>
        <v>1072</v>
      </c>
      <c r="B2394" s="46" t="s">
        <v>1269</v>
      </c>
      <c r="C2394" s="57" t="s">
        <v>1950</v>
      </c>
      <c r="D2394" s="57" t="s">
        <v>1242</v>
      </c>
      <c r="E2394" s="89">
        <v>2889000</v>
      </c>
      <c r="F2394" s="89">
        <v>2889000</v>
      </c>
      <c r="G2394" s="125">
        <f t="shared" si="57"/>
        <v>0</v>
      </c>
      <c r="H2394" s="247"/>
      <c r="I2394" s="45"/>
    </row>
    <row r="2395" spans="1:9" ht="33">
      <c r="A2395" s="3">
        <f>IF(F2395="","",COUNTA($F$1249:F2395))</f>
        <v>1073</v>
      </c>
      <c r="B2395" s="46" t="s">
        <v>1270</v>
      </c>
      <c r="C2395" s="57" t="s">
        <v>1950</v>
      </c>
      <c r="D2395" s="57" t="s">
        <v>1242</v>
      </c>
      <c r="E2395" s="89">
        <v>3157000</v>
      </c>
      <c r="F2395" s="89">
        <v>3157000</v>
      </c>
      <c r="G2395" s="125">
        <f t="shared" si="57"/>
        <v>0</v>
      </c>
      <c r="H2395" s="247"/>
      <c r="I2395" s="45"/>
    </row>
    <row r="2396" spans="1:9" ht="33">
      <c r="A2396" s="3">
        <f>IF(F2396="","",COUNTA($F$1249:F2396))</f>
        <v>1074</v>
      </c>
      <c r="B2396" s="46" t="s">
        <v>1271</v>
      </c>
      <c r="C2396" s="57" t="s">
        <v>1950</v>
      </c>
      <c r="D2396" s="57" t="s">
        <v>1242</v>
      </c>
      <c r="E2396" s="89">
        <v>3424000</v>
      </c>
      <c r="F2396" s="89">
        <v>3424000</v>
      </c>
      <c r="G2396" s="125">
        <f t="shared" si="57"/>
        <v>0</v>
      </c>
      <c r="H2396" s="247"/>
      <c r="I2396" s="45"/>
    </row>
    <row r="2397" spans="1:9" ht="33">
      <c r="A2397" s="3">
        <f>IF(F2397="","",COUNTA($F$1249:F2397))</f>
        <v>1075</v>
      </c>
      <c r="B2397" s="46" t="s">
        <v>1272</v>
      </c>
      <c r="C2397" s="57" t="s">
        <v>1950</v>
      </c>
      <c r="D2397" s="57" t="s">
        <v>1242</v>
      </c>
      <c r="E2397" s="89">
        <v>5083000</v>
      </c>
      <c r="F2397" s="89">
        <v>5083000</v>
      </c>
      <c r="G2397" s="125">
        <f t="shared" si="57"/>
        <v>0</v>
      </c>
      <c r="H2397" s="247"/>
      <c r="I2397" s="45"/>
    </row>
    <row r="2398" spans="1:9" ht="33">
      <c r="A2398" s="3">
        <f>IF(F2398="","",COUNTA($F$1249:F2398))</f>
        <v>1076</v>
      </c>
      <c r="B2398" s="46" t="s">
        <v>1273</v>
      </c>
      <c r="C2398" s="57" t="s">
        <v>1950</v>
      </c>
      <c r="D2398" s="57" t="s">
        <v>1242</v>
      </c>
      <c r="E2398" s="89">
        <v>5725000</v>
      </c>
      <c r="F2398" s="89">
        <v>5725000</v>
      </c>
      <c r="G2398" s="125">
        <f t="shared" si="57"/>
        <v>0</v>
      </c>
      <c r="H2398" s="247"/>
      <c r="I2398" s="45"/>
    </row>
    <row r="2399" spans="1:9" ht="33">
      <c r="A2399" s="3">
        <f>IF(F2399="","",COUNTA($F$1249:F2399))</f>
        <v>1077</v>
      </c>
      <c r="B2399" s="46" t="s">
        <v>1274</v>
      </c>
      <c r="C2399" s="57" t="s">
        <v>1950</v>
      </c>
      <c r="D2399" s="57" t="s">
        <v>1242</v>
      </c>
      <c r="E2399" s="89">
        <v>7490000</v>
      </c>
      <c r="F2399" s="89">
        <v>7490000</v>
      </c>
      <c r="G2399" s="125">
        <f t="shared" si="57"/>
        <v>0</v>
      </c>
      <c r="H2399" s="247"/>
      <c r="I2399" s="45"/>
    </row>
    <row r="2400" spans="1:9" ht="51.75">
      <c r="A2400" s="3">
        <f>IF(F2400="","",COUNTA($F$1249:F2400))</f>
      </c>
      <c r="B2400" s="61" t="s">
        <v>1275</v>
      </c>
      <c r="C2400" s="57"/>
      <c r="D2400" s="57" t="s">
        <v>1240</v>
      </c>
      <c r="E2400" s="89"/>
      <c r="F2400" s="89"/>
      <c r="G2400" s="125" t="e">
        <f t="shared" si="57"/>
        <v>#DIV/0!</v>
      </c>
      <c r="H2400" s="247"/>
      <c r="I2400" s="45"/>
    </row>
    <row r="2401" spans="1:9" ht="33">
      <c r="A2401" s="3">
        <f>IF(F2401="","",COUNTA($F$1249:F2401))</f>
        <v>1078</v>
      </c>
      <c r="B2401" s="46" t="s">
        <v>1241</v>
      </c>
      <c r="C2401" s="57" t="s">
        <v>1950</v>
      </c>
      <c r="D2401" s="57" t="s">
        <v>1242</v>
      </c>
      <c r="E2401" s="89">
        <v>613000</v>
      </c>
      <c r="F2401" s="89">
        <v>613000</v>
      </c>
      <c r="G2401" s="125">
        <f t="shared" si="57"/>
        <v>0</v>
      </c>
      <c r="H2401" s="247"/>
      <c r="I2401" s="45"/>
    </row>
    <row r="2402" spans="1:9" ht="33">
      <c r="A2402" s="3">
        <f>IF(F2402="","",COUNTA($F$1249:F2402))</f>
        <v>1079</v>
      </c>
      <c r="B2402" s="46" t="s">
        <v>1243</v>
      </c>
      <c r="C2402" s="57" t="s">
        <v>1950</v>
      </c>
      <c r="D2402" s="57" t="s">
        <v>1242</v>
      </c>
      <c r="E2402" s="89">
        <v>682000</v>
      </c>
      <c r="F2402" s="89">
        <v>682000</v>
      </c>
      <c r="G2402" s="125">
        <f t="shared" si="57"/>
        <v>0</v>
      </c>
      <c r="H2402" s="247"/>
      <c r="I2402" s="45"/>
    </row>
    <row r="2403" spans="1:9" ht="33">
      <c r="A2403" s="3">
        <f>IF(F2403="","",COUNTA($F$1249:F2403))</f>
        <v>1080</v>
      </c>
      <c r="B2403" s="46" t="s">
        <v>1244</v>
      </c>
      <c r="C2403" s="57" t="s">
        <v>1950</v>
      </c>
      <c r="D2403" s="57" t="s">
        <v>1242</v>
      </c>
      <c r="E2403" s="89">
        <v>809000</v>
      </c>
      <c r="F2403" s="89">
        <v>809000</v>
      </c>
      <c r="G2403" s="125">
        <f t="shared" si="57"/>
        <v>0</v>
      </c>
      <c r="H2403" s="247"/>
      <c r="I2403" s="45"/>
    </row>
    <row r="2404" spans="1:9" ht="33">
      <c r="A2404" s="3">
        <f>IF(F2404="","",COUNTA($F$1249:F2404))</f>
        <v>1081</v>
      </c>
      <c r="B2404" s="46" t="s">
        <v>1245</v>
      </c>
      <c r="C2404" s="57" t="s">
        <v>1950</v>
      </c>
      <c r="D2404" s="57" t="s">
        <v>1242</v>
      </c>
      <c r="E2404" s="89">
        <v>1029000</v>
      </c>
      <c r="F2404" s="89">
        <v>1029000</v>
      </c>
      <c r="G2404" s="125">
        <f t="shared" si="57"/>
        <v>0</v>
      </c>
      <c r="H2404" s="247"/>
      <c r="I2404" s="45"/>
    </row>
    <row r="2405" spans="1:9" ht="33">
      <c r="A2405" s="3">
        <f>IF(F2405="","",COUNTA($F$1249:F2405))</f>
        <v>1082</v>
      </c>
      <c r="B2405" s="46" t="s">
        <v>1246</v>
      </c>
      <c r="C2405" s="57" t="s">
        <v>1950</v>
      </c>
      <c r="D2405" s="57" t="s">
        <v>1242</v>
      </c>
      <c r="E2405" s="89">
        <v>1121000</v>
      </c>
      <c r="F2405" s="89">
        <v>1121000</v>
      </c>
      <c r="G2405" s="125">
        <f t="shared" si="57"/>
        <v>0</v>
      </c>
      <c r="H2405" s="247"/>
      <c r="I2405" s="45"/>
    </row>
    <row r="2406" spans="1:9" ht="33">
      <c r="A2406" s="3">
        <f>IF(F2406="","",COUNTA($F$1249:F2406))</f>
        <v>1083</v>
      </c>
      <c r="B2406" s="46" t="s">
        <v>1247</v>
      </c>
      <c r="C2406" s="57" t="s">
        <v>1950</v>
      </c>
      <c r="D2406" s="57" t="s">
        <v>1242</v>
      </c>
      <c r="E2406" s="89">
        <v>1224000</v>
      </c>
      <c r="F2406" s="89">
        <v>1224000</v>
      </c>
      <c r="G2406" s="125">
        <f t="shared" si="57"/>
        <v>0</v>
      </c>
      <c r="H2406" s="247"/>
      <c r="I2406" s="45"/>
    </row>
    <row r="2407" spans="1:9" ht="33">
      <c r="A2407" s="3">
        <f>IF(F2407="","",COUNTA($F$1249:F2407))</f>
        <v>1084</v>
      </c>
      <c r="B2407" s="46" t="s">
        <v>1248</v>
      </c>
      <c r="C2407" s="57" t="s">
        <v>1950</v>
      </c>
      <c r="D2407" s="57" t="s">
        <v>1242</v>
      </c>
      <c r="E2407" s="89">
        <v>1507000</v>
      </c>
      <c r="F2407" s="89">
        <v>1507000</v>
      </c>
      <c r="G2407" s="125">
        <f t="shared" si="57"/>
        <v>0</v>
      </c>
      <c r="H2407" s="247"/>
      <c r="I2407" s="45"/>
    </row>
    <row r="2408" spans="1:9" ht="33">
      <c r="A2408" s="3">
        <f>IF(F2408="","",COUNTA($F$1249:F2408))</f>
        <v>1085</v>
      </c>
      <c r="B2408" s="46" t="s">
        <v>1249</v>
      </c>
      <c r="C2408" s="57" t="s">
        <v>1950</v>
      </c>
      <c r="D2408" s="57" t="s">
        <v>1242</v>
      </c>
      <c r="E2408" s="89">
        <v>1848000</v>
      </c>
      <c r="F2408" s="89">
        <v>1848000</v>
      </c>
      <c r="G2408" s="125">
        <f t="shared" si="57"/>
        <v>0</v>
      </c>
      <c r="H2408" s="247"/>
      <c r="I2408" s="45"/>
    </row>
    <row r="2409" spans="1:9" ht="33">
      <c r="A2409" s="3">
        <f>IF(F2409="","",COUNTA($F$1249:F2409))</f>
        <v>1086</v>
      </c>
      <c r="B2409" s="46" t="s">
        <v>1250</v>
      </c>
      <c r="C2409" s="57" t="s">
        <v>1950</v>
      </c>
      <c r="D2409" s="57" t="s">
        <v>1242</v>
      </c>
      <c r="E2409" s="89">
        <v>2074000</v>
      </c>
      <c r="F2409" s="89">
        <v>2074000</v>
      </c>
      <c r="G2409" s="125">
        <f t="shared" si="57"/>
        <v>0</v>
      </c>
      <c r="H2409" s="247"/>
      <c r="I2409" s="45"/>
    </row>
    <row r="2410" spans="1:9" ht="33">
      <c r="A2410" s="3">
        <f>IF(F2410="","",COUNTA($F$1249:F2410))</f>
        <v>1087</v>
      </c>
      <c r="B2410" s="46" t="s">
        <v>1251</v>
      </c>
      <c r="C2410" s="57" t="s">
        <v>1950</v>
      </c>
      <c r="D2410" s="57" t="s">
        <v>1242</v>
      </c>
      <c r="E2410" s="89">
        <v>2253000</v>
      </c>
      <c r="F2410" s="89">
        <v>2253000</v>
      </c>
      <c r="G2410" s="125">
        <f t="shared" si="57"/>
        <v>0</v>
      </c>
      <c r="H2410" s="247"/>
      <c r="I2410" s="45"/>
    </row>
    <row r="2411" spans="1:9" ht="33">
      <c r="A2411" s="3">
        <f>IF(F2411="","",COUNTA($F$1249:F2411))</f>
        <v>1088</v>
      </c>
      <c r="B2411" s="46" t="s">
        <v>1252</v>
      </c>
      <c r="C2411" s="57" t="s">
        <v>1950</v>
      </c>
      <c r="D2411" s="57" t="s">
        <v>1242</v>
      </c>
      <c r="E2411" s="89">
        <v>2962000</v>
      </c>
      <c r="F2411" s="89">
        <v>2962000</v>
      </c>
      <c r="G2411" s="125">
        <f t="shared" si="57"/>
        <v>0</v>
      </c>
      <c r="H2411" s="247"/>
      <c r="I2411" s="45"/>
    </row>
    <row r="2412" spans="1:9" ht="33">
      <c r="A2412" s="3">
        <f>IF(F2412="","",COUNTA($F$1249:F2412))</f>
        <v>1089</v>
      </c>
      <c r="B2412" s="46" t="s">
        <v>1253</v>
      </c>
      <c r="C2412" s="57" t="s">
        <v>1950</v>
      </c>
      <c r="D2412" s="57" t="s">
        <v>1242</v>
      </c>
      <c r="E2412" s="89">
        <v>3927000</v>
      </c>
      <c r="F2412" s="89">
        <v>3927000</v>
      </c>
      <c r="G2412" s="125">
        <f t="shared" si="57"/>
        <v>0</v>
      </c>
      <c r="H2412" s="247"/>
      <c r="I2412" s="45"/>
    </row>
    <row r="2413" spans="1:9" ht="33">
      <c r="A2413" s="3">
        <f>IF(F2413="","",COUNTA($F$1249:F2413))</f>
        <v>1090</v>
      </c>
      <c r="B2413" s="46" t="s">
        <v>1254</v>
      </c>
      <c r="C2413" s="57" t="s">
        <v>1950</v>
      </c>
      <c r="D2413" s="57" t="s">
        <v>1242</v>
      </c>
      <c r="E2413" s="89">
        <v>4274000</v>
      </c>
      <c r="F2413" s="89">
        <v>4274000</v>
      </c>
      <c r="G2413" s="125">
        <f t="shared" si="57"/>
        <v>0</v>
      </c>
      <c r="H2413" s="247"/>
      <c r="I2413" s="45"/>
    </row>
    <row r="2414" spans="1:9" ht="33">
      <c r="A2414" s="3">
        <f>IF(F2414="","",COUNTA($F$1249:F2414))</f>
        <v>1091</v>
      </c>
      <c r="B2414" s="46" t="s">
        <v>1255</v>
      </c>
      <c r="C2414" s="57" t="s">
        <v>1950</v>
      </c>
      <c r="D2414" s="57" t="s">
        <v>1242</v>
      </c>
      <c r="E2414" s="89">
        <v>5833000</v>
      </c>
      <c r="F2414" s="89">
        <v>5833000</v>
      </c>
      <c r="G2414" s="125">
        <f t="shared" si="57"/>
        <v>0</v>
      </c>
      <c r="H2414" s="247"/>
      <c r="I2414" s="45"/>
    </row>
    <row r="2415" spans="1:9" ht="33">
      <c r="A2415" s="3">
        <f>IF(F2415="","",COUNTA($F$1249:F2415))</f>
        <v>1092</v>
      </c>
      <c r="B2415" s="46" t="s">
        <v>1256</v>
      </c>
      <c r="C2415" s="57" t="s">
        <v>1950</v>
      </c>
      <c r="D2415" s="57" t="s">
        <v>1242</v>
      </c>
      <c r="E2415" s="89">
        <v>7277000</v>
      </c>
      <c r="F2415" s="89">
        <v>7277000</v>
      </c>
      <c r="G2415" s="125">
        <f t="shared" si="57"/>
        <v>0</v>
      </c>
      <c r="H2415" s="247"/>
      <c r="I2415" s="45"/>
    </row>
    <row r="2416" spans="1:9" ht="33">
      <c r="A2416" s="3">
        <f>IF(F2416="","",COUNTA($F$1249:F2416))</f>
        <v>1093</v>
      </c>
      <c r="B2416" s="46" t="s">
        <v>1257</v>
      </c>
      <c r="C2416" s="57" t="s">
        <v>1950</v>
      </c>
      <c r="D2416" s="57" t="s">
        <v>1242</v>
      </c>
      <c r="E2416" s="89">
        <v>8663000</v>
      </c>
      <c r="F2416" s="89">
        <v>8663000</v>
      </c>
      <c r="G2416" s="125">
        <f t="shared" si="57"/>
        <v>0</v>
      </c>
      <c r="H2416" s="247"/>
      <c r="I2416" s="45"/>
    </row>
    <row r="2417" spans="1:9" ht="51.75">
      <c r="A2417" s="3">
        <f>IF(F2417="","",COUNTA($F$1249:F2417))</f>
      </c>
      <c r="B2417" s="61" t="s">
        <v>1276</v>
      </c>
      <c r="C2417" s="57"/>
      <c r="D2417" s="57" t="s">
        <v>1240</v>
      </c>
      <c r="E2417" s="89"/>
      <c r="F2417" s="89"/>
      <c r="G2417" s="125" t="e">
        <f t="shared" si="57"/>
        <v>#DIV/0!</v>
      </c>
      <c r="H2417" s="247"/>
      <c r="I2417" s="45"/>
    </row>
    <row r="2418" spans="1:9" ht="33">
      <c r="A2418" s="3">
        <f>IF(F2418="","",COUNTA($F$1249:F2418))</f>
        <v>1094</v>
      </c>
      <c r="B2418" s="46" t="s">
        <v>1259</v>
      </c>
      <c r="C2418" s="57" t="s">
        <v>1950</v>
      </c>
      <c r="D2418" s="57" t="s">
        <v>1242</v>
      </c>
      <c r="E2418" s="89">
        <v>728000</v>
      </c>
      <c r="F2418" s="89">
        <v>728000</v>
      </c>
      <c r="G2418" s="125">
        <f t="shared" si="57"/>
        <v>0</v>
      </c>
      <c r="H2418" s="247"/>
      <c r="I2418" s="45"/>
    </row>
    <row r="2419" spans="1:9" ht="33">
      <c r="A2419" s="3">
        <f>IF(F2419="","",COUNTA($F$1249:F2419))</f>
        <v>1095</v>
      </c>
      <c r="B2419" s="46" t="s">
        <v>1260</v>
      </c>
      <c r="C2419" s="57" t="s">
        <v>1950</v>
      </c>
      <c r="D2419" s="57" t="s">
        <v>1242</v>
      </c>
      <c r="E2419" s="89">
        <v>947000</v>
      </c>
      <c r="F2419" s="89">
        <v>947000</v>
      </c>
      <c r="G2419" s="125">
        <f t="shared" si="57"/>
        <v>0</v>
      </c>
      <c r="H2419" s="247"/>
      <c r="I2419" s="45"/>
    </row>
    <row r="2420" spans="1:9" ht="33">
      <c r="A2420" s="3">
        <f>IF(F2420="","",COUNTA($F$1249:F2420))</f>
        <v>1096</v>
      </c>
      <c r="B2420" s="46" t="s">
        <v>1261</v>
      </c>
      <c r="C2420" s="57" t="s">
        <v>1950</v>
      </c>
      <c r="D2420" s="57" t="s">
        <v>1242</v>
      </c>
      <c r="E2420" s="89">
        <v>1144000</v>
      </c>
      <c r="F2420" s="89">
        <v>1144000</v>
      </c>
      <c r="G2420" s="125">
        <f t="shared" si="57"/>
        <v>0</v>
      </c>
      <c r="H2420" s="247"/>
      <c r="I2420" s="45"/>
    </row>
    <row r="2421" spans="1:9" ht="33">
      <c r="A2421" s="3">
        <f>IF(F2421="","",COUNTA($F$1249:F2421))</f>
        <v>1097</v>
      </c>
      <c r="B2421" s="46" t="s">
        <v>1262</v>
      </c>
      <c r="C2421" s="57" t="s">
        <v>1950</v>
      </c>
      <c r="D2421" s="57" t="s">
        <v>1242</v>
      </c>
      <c r="E2421" s="89">
        <v>1502000</v>
      </c>
      <c r="F2421" s="89">
        <v>1502000</v>
      </c>
      <c r="G2421" s="125">
        <f t="shared" si="57"/>
        <v>0</v>
      </c>
      <c r="H2421" s="247"/>
      <c r="I2421" s="45"/>
    </row>
    <row r="2422" spans="1:9" ht="33">
      <c r="A2422" s="3">
        <f>IF(F2422="","",COUNTA($F$1249:F2422))</f>
        <v>1098</v>
      </c>
      <c r="B2422" s="46" t="s">
        <v>1263</v>
      </c>
      <c r="C2422" s="57" t="s">
        <v>1950</v>
      </c>
      <c r="D2422" s="57" t="s">
        <v>1242</v>
      </c>
      <c r="E2422" s="89">
        <v>1617000</v>
      </c>
      <c r="F2422" s="89">
        <v>1617000</v>
      </c>
      <c r="G2422" s="125">
        <f t="shared" si="57"/>
        <v>0</v>
      </c>
      <c r="H2422" s="247"/>
      <c r="I2422" s="45"/>
    </row>
    <row r="2423" spans="1:9" ht="33">
      <c r="A2423" s="3">
        <f>IF(F2423="","",COUNTA($F$1249:F2423))</f>
        <v>1099</v>
      </c>
      <c r="B2423" s="46" t="s">
        <v>1264</v>
      </c>
      <c r="C2423" s="57" t="s">
        <v>1950</v>
      </c>
      <c r="D2423" s="57" t="s">
        <v>1242</v>
      </c>
      <c r="E2423" s="89">
        <v>1733000</v>
      </c>
      <c r="F2423" s="89">
        <v>1733000</v>
      </c>
      <c r="G2423" s="125">
        <f t="shared" si="57"/>
        <v>0</v>
      </c>
      <c r="H2423" s="247"/>
      <c r="I2423" s="45"/>
    </row>
    <row r="2424" spans="1:9" ht="33">
      <c r="A2424" s="3">
        <f>IF(F2424="","",COUNTA($F$1249:F2424))</f>
        <v>1100</v>
      </c>
      <c r="B2424" s="46" t="s">
        <v>1265</v>
      </c>
      <c r="C2424" s="57" t="s">
        <v>1950</v>
      </c>
      <c r="D2424" s="57" t="s">
        <v>1242</v>
      </c>
      <c r="E2424" s="89">
        <v>2137000</v>
      </c>
      <c r="F2424" s="89">
        <v>2137000</v>
      </c>
      <c r="G2424" s="125">
        <f aca="true" t="shared" si="58" ref="G2424:G2487">(E2424-F2424)/E2424</f>
        <v>0</v>
      </c>
      <c r="H2424" s="247"/>
      <c r="I2424" s="45"/>
    </row>
    <row r="2425" spans="1:9" ht="33">
      <c r="A2425" s="3">
        <f>IF(F2425="","",COUNTA($F$1249:F2425))</f>
        <v>1101</v>
      </c>
      <c r="B2425" s="46" t="s">
        <v>1266</v>
      </c>
      <c r="C2425" s="57" t="s">
        <v>1950</v>
      </c>
      <c r="D2425" s="57" t="s">
        <v>1242</v>
      </c>
      <c r="E2425" s="89">
        <v>2415000</v>
      </c>
      <c r="F2425" s="89">
        <v>2415000</v>
      </c>
      <c r="G2425" s="125">
        <f t="shared" si="58"/>
        <v>0</v>
      </c>
      <c r="H2425" s="247"/>
      <c r="I2425" s="45"/>
    </row>
    <row r="2426" spans="1:9" ht="33">
      <c r="A2426" s="3">
        <f>IF(F2426="","",COUNTA($F$1249:F2426))</f>
        <v>1102</v>
      </c>
      <c r="B2426" s="46" t="s">
        <v>1267</v>
      </c>
      <c r="C2426" s="57" t="s">
        <v>1950</v>
      </c>
      <c r="D2426" s="57" t="s">
        <v>1242</v>
      </c>
      <c r="E2426" s="89">
        <v>2657000</v>
      </c>
      <c r="F2426" s="89">
        <v>2657000</v>
      </c>
      <c r="G2426" s="125">
        <f t="shared" si="58"/>
        <v>0</v>
      </c>
      <c r="H2426" s="247"/>
      <c r="I2426" s="45"/>
    </row>
    <row r="2427" spans="1:9" ht="33">
      <c r="A2427" s="3">
        <f>IF(F2427="","",COUNTA($F$1249:F2427))</f>
        <v>1103</v>
      </c>
      <c r="B2427" s="46" t="s">
        <v>1268</v>
      </c>
      <c r="C2427" s="57" t="s">
        <v>1950</v>
      </c>
      <c r="D2427" s="57" t="s">
        <v>1242</v>
      </c>
      <c r="E2427" s="89">
        <v>2795000</v>
      </c>
      <c r="F2427" s="89">
        <v>2795000</v>
      </c>
      <c r="G2427" s="125">
        <f t="shared" si="58"/>
        <v>0</v>
      </c>
      <c r="H2427" s="247"/>
      <c r="I2427" s="45"/>
    </row>
    <row r="2428" spans="1:9" ht="33">
      <c r="A2428" s="3">
        <f>IF(F2428="","",COUNTA($F$1249:F2428))</f>
        <v>1104</v>
      </c>
      <c r="B2428" s="46" t="s">
        <v>1269</v>
      </c>
      <c r="C2428" s="57" t="s">
        <v>1950</v>
      </c>
      <c r="D2428" s="57" t="s">
        <v>1242</v>
      </c>
      <c r="E2428" s="89">
        <v>3639000</v>
      </c>
      <c r="F2428" s="89">
        <v>3639000</v>
      </c>
      <c r="G2428" s="125">
        <f t="shared" si="58"/>
        <v>0</v>
      </c>
      <c r="H2428" s="247"/>
      <c r="I2428" s="45"/>
    </row>
    <row r="2429" spans="1:9" ht="33">
      <c r="A2429" s="3">
        <f>IF(F2429="","",COUNTA($F$1249:F2429))</f>
        <v>1105</v>
      </c>
      <c r="B2429" s="46" t="s">
        <v>1270</v>
      </c>
      <c r="C2429" s="57" t="s">
        <v>1950</v>
      </c>
      <c r="D2429" s="57" t="s">
        <v>1242</v>
      </c>
      <c r="E2429" s="89">
        <v>4447000</v>
      </c>
      <c r="F2429" s="89">
        <v>4447000</v>
      </c>
      <c r="G2429" s="125">
        <f t="shared" si="58"/>
        <v>0</v>
      </c>
      <c r="H2429" s="247"/>
      <c r="I2429" s="45"/>
    </row>
    <row r="2430" spans="1:9" ht="33">
      <c r="A2430" s="3">
        <f>IF(F2430="","",COUNTA($F$1249:F2430))</f>
        <v>1106</v>
      </c>
      <c r="B2430" s="46" t="s">
        <v>1271</v>
      </c>
      <c r="C2430" s="57" t="s">
        <v>1950</v>
      </c>
      <c r="D2430" s="57" t="s">
        <v>1242</v>
      </c>
      <c r="E2430" s="89">
        <v>4909000</v>
      </c>
      <c r="F2430" s="89">
        <v>4909000</v>
      </c>
      <c r="G2430" s="125">
        <f t="shared" si="58"/>
        <v>0</v>
      </c>
      <c r="H2430" s="247"/>
      <c r="I2430" s="45"/>
    </row>
    <row r="2431" spans="1:9" ht="33">
      <c r="A2431" s="3">
        <f>IF(F2431="","",COUNTA($F$1249:F2431))</f>
        <v>1107</v>
      </c>
      <c r="B2431" s="46" t="s">
        <v>1272</v>
      </c>
      <c r="C2431" s="57" t="s">
        <v>1950</v>
      </c>
      <c r="D2431" s="57" t="s">
        <v>1242</v>
      </c>
      <c r="E2431" s="89">
        <v>7912000</v>
      </c>
      <c r="F2431" s="89">
        <v>7912000</v>
      </c>
      <c r="G2431" s="125">
        <f t="shared" si="58"/>
        <v>0</v>
      </c>
      <c r="H2431" s="247"/>
      <c r="I2431" s="45"/>
    </row>
    <row r="2432" spans="1:9" ht="33">
      <c r="A2432" s="3">
        <f>IF(F2432="","",COUNTA($F$1249:F2432))</f>
        <v>1108</v>
      </c>
      <c r="B2432" s="46" t="s">
        <v>1273</v>
      </c>
      <c r="C2432" s="57" t="s">
        <v>1950</v>
      </c>
      <c r="D2432" s="57" t="s">
        <v>1242</v>
      </c>
      <c r="E2432" s="89">
        <v>9067000</v>
      </c>
      <c r="F2432" s="89">
        <v>9067000</v>
      </c>
      <c r="G2432" s="125">
        <f t="shared" si="58"/>
        <v>0</v>
      </c>
      <c r="H2432" s="247"/>
      <c r="I2432" s="45"/>
    </row>
    <row r="2433" spans="1:9" ht="17.25">
      <c r="A2433" s="3">
        <f>IF(F2433="","",COUNTA($F$1249:F2433))</f>
      </c>
      <c r="B2433" s="61" t="s">
        <v>1277</v>
      </c>
      <c r="C2433" s="57"/>
      <c r="D2433" s="57" t="s">
        <v>1240</v>
      </c>
      <c r="E2433" s="89"/>
      <c r="F2433" s="89"/>
      <c r="G2433" s="125" t="e">
        <f t="shared" si="58"/>
        <v>#DIV/0!</v>
      </c>
      <c r="H2433" s="247"/>
      <c r="I2433" s="45"/>
    </row>
    <row r="2434" spans="1:9" ht="33">
      <c r="A2434" s="3">
        <f>IF(F2434="","",COUNTA($F$1249:F2434))</f>
        <v>1109</v>
      </c>
      <c r="B2434" s="46" t="s">
        <v>1278</v>
      </c>
      <c r="C2434" s="57" t="s">
        <v>1950</v>
      </c>
      <c r="D2434" s="57" t="s">
        <v>1279</v>
      </c>
      <c r="E2434" s="89">
        <v>53000</v>
      </c>
      <c r="F2434" s="89">
        <v>53000</v>
      </c>
      <c r="G2434" s="125">
        <f t="shared" si="58"/>
        <v>0</v>
      </c>
      <c r="H2434" s="247"/>
      <c r="I2434" s="45"/>
    </row>
    <row r="2435" spans="1:9" ht="33">
      <c r="A2435" s="3">
        <f>IF(F2435="","",COUNTA($F$1249:F2435))</f>
        <v>1110</v>
      </c>
      <c r="B2435" s="46" t="s">
        <v>1280</v>
      </c>
      <c r="C2435" s="57" t="s">
        <v>1950</v>
      </c>
      <c r="D2435" s="57" t="s">
        <v>1281</v>
      </c>
      <c r="E2435" s="89">
        <v>74000</v>
      </c>
      <c r="F2435" s="89">
        <v>74000</v>
      </c>
      <c r="G2435" s="125">
        <f t="shared" si="58"/>
        <v>0</v>
      </c>
      <c r="H2435" s="247"/>
      <c r="I2435" s="45"/>
    </row>
    <row r="2436" spans="1:9" ht="33">
      <c r="A2436" s="3">
        <f>IF(F2436="","",COUNTA($F$1249:F2436))</f>
        <v>1111</v>
      </c>
      <c r="B2436" s="46" t="s">
        <v>1282</v>
      </c>
      <c r="C2436" s="57" t="s">
        <v>1950</v>
      </c>
      <c r="D2436" s="57" t="s">
        <v>1279</v>
      </c>
      <c r="E2436" s="89">
        <v>89000</v>
      </c>
      <c r="F2436" s="89">
        <v>89000</v>
      </c>
      <c r="G2436" s="125">
        <f t="shared" si="58"/>
        <v>0</v>
      </c>
      <c r="H2436" s="247"/>
      <c r="I2436" s="45"/>
    </row>
    <row r="2437" spans="1:9" ht="33">
      <c r="A2437" s="3">
        <f>IF(F2437="","",COUNTA($F$1249:F2437))</f>
        <v>1112</v>
      </c>
      <c r="B2437" s="46" t="s">
        <v>1283</v>
      </c>
      <c r="C2437" s="57" t="s">
        <v>1950</v>
      </c>
      <c r="D2437" s="57" t="s">
        <v>1279</v>
      </c>
      <c r="E2437" s="89">
        <v>105000</v>
      </c>
      <c r="F2437" s="89">
        <v>105000</v>
      </c>
      <c r="G2437" s="125">
        <f t="shared" si="58"/>
        <v>0</v>
      </c>
      <c r="H2437" s="247"/>
      <c r="I2437" s="45"/>
    </row>
    <row r="2438" spans="1:9" ht="33">
      <c r="A2438" s="3">
        <f>IF(F2438="","",COUNTA($F$1249:F2438))</f>
        <v>1113</v>
      </c>
      <c r="B2438" s="46" t="s">
        <v>1284</v>
      </c>
      <c r="C2438" s="57" t="s">
        <v>1950</v>
      </c>
      <c r="D2438" s="57" t="s">
        <v>1279</v>
      </c>
      <c r="E2438" s="89">
        <v>135000</v>
      </c>
      <c r="F2438" s="89">
        <v>135000</v>
      </c>
      <c r="G2438" s="125">
        <f t="shared" si="58"/>
        <v>0</v>
      </c>
      <c r="H2438" s="247"/>
      <c r="I2438" s="45"/>
    </row>
    <row r="2439" spans="1:9" ht="33">
      <c r="A2439" s="3">
        <f>IF(F2439="","",COUNTA($F$1249:F2439))</f>
        <v>1114</v>
      </c>
      <c r="B2439" s="46" t="s">
        <v>1285</v>
      </c>
      <c r="C2439" s="57" t="s">
        <v>1950</v>
      </c>
      <c r="D2439" s="57" t="s">
        <v>1286</v>
      </c>
      <c r="E2439" s="89">
        <v>173000</v>
      </c>
      <c r="F2439" s="89">
        <v>173000</v>
      </c>
      <c r="G2439" s="125">
        <f t="shared" si="58"/>
        <v>0</v>
      </c>
      <c r="H2439" s="247"/>
      <c r="I2439" s="45"/>
    </row>
    <row r="2440" spans="1:9" ht="33">
      <c r="A2440" s="3">
        <f>IF(F2440="","",COUNTA($F$1249:F2440))</f>
        <v>1115</v>
      </c>
      <c r="B2440" s="46" t="s">
        <v>1287</v>
      </c>
      <c r="C2440" s="57" t="s">
        <v>1950</v>
      </c>
      <c r="D2440" s="57" t="s">
        <v>1286</v>
      </c>
      <c r="E2440" s="89">
        <v>176000</v>
      </c>
      <c r="F2440" s="89">
        <v>176000</v>
      </c>
      <c r="G2440" s="125">
        <f t="shared" si="58"/>
        <v>0</v>
      </c>
      <c r="H2440" s="247"/>
      <c r="I2440" s="45"/>
    </row>
    <row r="2441" spans="1:9" ht="34.5">
      <c r="A2441" s="3">
        <f>IF(F2441="","",COUNTA($F$1249:F2441))</f>
      </c>
      <c r="B2441" s="61" t="s">
        <v>1288</v>
      </c>
      <c r="C2441" s="57"/>
      <c r="D2441" s="57" t="s">
        <v>1240</v>
      </c>
      <c r="E2441" s="89"/>
      <c r="F2441" s="89"/>
      <c r="G2441" s="125" t="e">
        <f t="shared" si="58"/>
        <v>#DIV/0!</v>
      </c>
      <c r="H2441" s="247"/>
      <c r="I2441" s="45"/>
    </row>
    <row r="2442" spans="1:9" ht="33">
      <c r="A2442" s="3">
        <f>IF(F2442="","",COUNTA($F$1249:F2442))</f>
        <v>1116</v>
      </c>
      <c r="B2442" s="46" t="s">
        <v>1289</v>
      </c>
      <c r="C2442" s="57" t="s">
        <v>1944</v>
      </c>
      <c r="D2442" s="57" t="s">
        <v>1242</v>
      </c>
      <c r="E2442" s="89">
        <v>353000</v>
      </c>
      <c r="F2442" s="89">
        <v>353000</v>
      </c>
      <c r="G2442" s="125">
        <f t="shared" si="58"/>
        <v>0</v>
      </c>
      <c r="H2442" s="247"/>
      <c r="I2442" s="45"/>
    </row>
    <row r="2443" spans="1:9" ht="33">
      <c r="A2443" s="3">
        <f>IF(F2443="","",COUNTA($F$1249:F2443))</f>
        <v>1117</v>
      </c>
      <c r="B2443" s="46" t="s">
        <v>1290</v>
      </c>
      <c r="C2443" s="57" t="s">
        <v>1944</v>
      </c>
      <c r="D2443" s="57" t="s">
        <v>1242</v>
      </c>
      <c r="E2443" s="89">
        <v>460000</v>
      </c>
      <c r="F2443" s="89">
        <v>460000</v>
      </c>
      <c r="G2443" s="125">
        <f t="shared" si="58"/>
        <v>0</v>
      </c>
      <c r="H2443" s="247"/>
      <c r="I2443" s="45"/>
    </row>
    <row r="2444" spans="1:9" ht="17.25">
      <c r="A2444" s="3">
        <f>IF(F2444="","",COUNTA($F$1249:F2444))</f>
      </c>
      <c r="B2444" s="61" t="s">
        <v>1291</v>
      </c>
      <c r="C2444" s="57"/>
      <c r="D2444" s="57" t="s">
        <v>1240</v>
      </c>
      <c r="E2444" s="89"/>
      <c r="F2444" s="89"/>
      <c r="G2444" s="125" t="e">
        <f t="shared" si="58"/>
        <v>#DIV/0!</v>
      </c>
      <c r="H2444" s="247"/>
      <c r="I2444" s="45"/>
    </row>
    <row r="2445" spans="1:9" ht="16.5">
      <c r="A2445" s="3">
        <f>IF(F2445="","",COUNTA($F$1249:F2445))</f>
        <v>1118</v>
      </c>
      <c r="B2445" s="46" t="s">
        <v>1292</v>
      </c>
      <c r="C2445" s="57" t="s">
        <v>1944</v>
      </c>
      <c r="D2445" s="57" t="s">
        <v>1293</v>
      </c>
      <c r="E2445" s="89">
        <v>935000</v>
      </c>
      <c r="F2445" s="89">
        <v>935000</v>
      </c>
      <c r="G2445" s="125">
        <f t="shared" si="58"/>
        <v>0</v>
      </c>
      <c r="H2445" s="247"/>
      <c r="I2445" s="45"/>
    </row>
    <row r="2446" spans="1:9" ht="16.5">
      <c r="A2446" s="3">
        <f>IF(F2446="","",COUNTA($F$1249:F2446))</f>
        <v>1119</v>
      </c>
      <c r="B2446" s="46" t="s">
        <v>1294</v>
      </c>
      <c r="C2446" s="57" t="s">
        <v>1944</v>
      </c>
      <c r="D2446" s="57" t="s">
        <v>1293</v>
      </c>
      <c r="E2446" s="89">
        <v>1210000</v>
      </c>
      <c r="F2446" s="89">
        <v>1210000</v>
      </c>
      <c r="G2446" s="125">
        <f t="shared" si="58"/>
        <v>0</v>
      </c>
      <c r="H2446" s="247"/>
      <c r="I2446" s="45"/>
    </row>
    <row r="2447" spans="1:9" ht="16.5">
      <c r="A2447" s="3">
        <f>IF(F2447="","",COUNTA($F$1249:F2447))</f>
        <v>1120</v>
      </c>
      <c r="B2447" s="46" t="s">
        <v>1295</v>
      </c>
      <c r="C2447" s="57" t="s">
        <v>1944</v>
      </c>
      <c r="D2447" s="57" t="s">
        <v>1293</v>
      </c>
      <c r="E2447" s="89">
        <v>1595000</v>
      </c>
      <c r="F2447" s="89">
        <v>1595000</v>
      </c>
      <c r="G2447" s="125">
        <f t="shared" si="58"/>
        <v>0</v>
      </c>
      <c r="H2447" s="247"/>
      <c r="I2447" s="45"/>
    </row>
    <row r="2448" spans="1:9" ht="16.5">
      <c r="A2448" s="3">
        <f>IF(F2448="","",COUNTA($F$1249:F2448))</f>
        <v>1121</v>
      </c>
      <c r="B2448" s="46" t="s">
        <v>1296</v>
      </c>
      <c r="C2448" s="57" t="s">
        <v>1944</v>
      </c>
      <c r="D2448" s="57" t="s">
        <v>1293</v>
      </c>
      <c r="E2448" s="89">
        <v>1925000</v>
      </c>
      <c r="F2448" s="89">
        <v>1925000</v>
      </c>
      <c r="G2448" s="125">
        <f t="shared" si="58"/>
        <v>0</v>
      </c>
      <c r="H2448" s="247"/>
      <c r="I2448" s="45"/>
    </row>
    <row r="2449" spans="1:9" ht="16.5">
      <c r="A2449" s="3">
        <f>IF(F2449="","",COUNTA($F$1249:F2449))</f>
        <v>1122</v>
      </c>
      <c r="B2449" s="46" t="s">
        <v>1297</v>
      </c>
      <c r="C2449" s="57" t="s">
        <v>1944</v>
      </c>
      <c r="D2449" s="57" t="s">
        <v>1293</v>
      </c>
      <c r="E2449" s="89">
        <v>3685000</v>
      </c>
      <c r="F2449" s="89">
        <v>3685000</v>
      </c>
      <c r="G2449" s="125">
        <f t="shared" si="58"/>
        <v>0</v>
      </c>
      <c r="H2449" s="247"/>
      <c r="I2449" s="45"/>
    </row>
    <row r="2450" spans="1:9" ht="16.5">
      <c r="A2450" s="3">
        <f>IF(F2450="","",COUNTA($F$1249:F2450))</f>
        <v>1123</v>
      </c>
      <c r="B2450" s="46" t="s">
        <v>1298</v>
      </c>
      <c r="C2450" s="57" t="s">
        <v>1944</v>
      </c>
      <c r="D2450" s="57" t="s">
        <v>1293</v>
      </c>
      <c r="E2450" s="89">
        <v>5885000</v>
      </c>
      <c r="F2450" s="89">
        <v>5885000</v>
      </c>
      <c r="G2450" s="125">
        <f t="shared" si="58"/>
        <v>0</v>
      </c>
      <c r="H2450" s="247"/>
      <c r="I2450" s="45"/>
    </row>
    <row r="2451" spans="1:9" ht="17.25">
      <c r="A2451" s="3">
        <f>IF(F2451="","",COUNTA($F$1249:F2451))</f>
      </c>
      <c r="B2451" s="61" t="s">
        <v>1299</v>
      </c>
      <c r="C2451" s="57"/>
      <c r="D2451" s="57" t="s">
        <v>1240</v>
      </c>
      <c r="E2451" s="89"/>
      <c r="F2451" s="89"/>
      <c r="G2451" s="125" t="e">
        <f t="shared" si="58"/>
        <v>#DIV/0!</v>
      </c>
      <c r="H2451" s="247"/>
      <c r="I2451" s="45"/>
    </row>
    <row r="2452" spans="1:9" ht="16.5">
      <c r="A2452" s="3">
        <f>IF(F2452="","",COUNTA($F$1249:F2452))</f>
        <v>1124</v>
      </c>
      <c r="B2452" s="46" t="s">
        <v>1300</v>
      </c>
      <c r="C2452" s="57" t="s">
        <v>1944</v>
      </c>
      <c r="D2452" s="57" t="s">
        <v>1301</v>
      </c>
      <c r="E2452" s="89">
        <v>1155000</v>
      </c>
      <c r="F2452" s="89">
        <v>1155000</v>
      </c>
      <c r="G2452" s="125">
        <f t="shared" si="58"/>
        <v>0</v>
      </c>
      <c r="H2452" s="247"/>
      <c r="I2452" s="45"/>
    </row>
    <row r="2453" spans="1:9" ht="16.5">
      <c r="A2453" s="3">
        <f>IF(F2453="","",COUNTA($F$1249:F2453))</f>
        <v>1125</v>
      </c>
      <c r="B2453" s="46" t="s">
        <v>1302</v>
      </c>
      <c r="C2453" s="57" t="s">
        <v>1944</v>
      </c>
      <c r="D2453" s="57" t="s">
        <v>1301</v>
      </c>
      <c r="E2453" s="89">
        <v>1430000</v>
      </c>
      <c r="F2453" s="89">
        <v>1430000</v>
      </c>
      <c r="G2453" s="125">
        <f t="shared" si="58"/>
        <v>0</v>
      </c>
      <c r="H2453" s="247"/>
      <c r="I2453" s="45"/>
    </row>
    <row r="2454" spans="1:9" ht="16.5">
      <c r="A2454" s="3">
        <f>IF(F2454="","",COUNTA($F$1249:F2454))</f>
        <v>1126</v>
      </c>
      <c r="B2454" s="46" t="s">
        <v>1303</v>
      </c>
      <c r="C2454" s="57" t="s">
        <v>1944</v>
      </c>
      <c r="D2454" s="57" t="s">
        <v>1301</v>
      </c>
      <c r="E2454" s="89">
        <v>1815000</v>
      </c>
      <c r="F2454" s="89">
        <v>1815000</v>
      </c>
      <c r="G2454" s="125">
        <f t="shared" si="58"/>
        <v>0</v>
      </c>
      <c r="H2454" s="247"/>
      <c r="I2454" s="45"/>
    </row>
    <row r="2455" spans="1:9" ht="16.5">
      <c r="A2455" s="3">
        <f>IF(F2455="","",COUNTA($F$1249:F2455))</f>
        <v>1127</v>
      </c>
      <c r="B2455" s="46" t="s">
        <v>1304</v>
      </c>
      <c r="C2455" s="57" t="s">
        <v>1944</v>
      </c>
      <c r="D2455" s="57" t="s">
        <v>1301</v>
      </c>
      <c r="E2455" s="89">
        <v>2310000</v>
      </c>
      <c r="F2455" s="89">
        <v>2310000</v>
      </c>
      <c r="G2455" s="125">
        <f t="shared" si="58"/>
        <v>0</v>
      </c>
      <c r="H2455" s="247"/>
      <c r="I2455" s="45"/>
    </row>
    <row r="2456" spans="1:9" ht="16.5">
      <c r="A2456" s="3">
        <f>IF(F2456="","",COUNTA($F$1249:F2456))</f>
        <v>1128</v>
      </c>
      <c r="B2456" s="46" t="s">
        <v>1305</v>
      </c>
      <c r="C2456" s="57" t="s">
        <v>1944</v>
      </c>
      <c r="D2456" s="57" t="s">
        <v>1301</v>
      </c>
      <c r="E2456" s="89">
        <v>3630000</v>
      </c>
      <c r="F2456" s="89">
        <v>3630000</v>
      </c>
      <c r="G2456" s="125">
        <f t="shared" si="58"/>
        <v>0</v>
      </c>
      <c r="H2456" s="247"/>
      <c r="I2456" s="45"/>
    </row>
    <row r="2457" spans="1:9" ht="16.5">
      <c r="A2457" s="3">
        <f>IF(F2457="","",COUNTA($F$1249:F2457))</f>
        <v>1129</v>
      </c>
      <c r="B2457" s="46" t="s">
        <v>1306</v>
      </c>
      <c r="C2457" s="57" t="s">
        <v>1944</v>
      </c>
      <c r="D2457" s="57" t="s">
        <v>1301</v>
      </c>
      <c r="E2457" s="89">
        <v>6050000</v>
      </c>
      <c r="F2457" s="89">
        <v>6050000</v>
      </c>
      <c r="G2457" s="125">
        <f t="shared" si="58"/>
        <v>0</v>
      </c>
      <c r="H2457" s="247"/>
      <c r="I2457" s="45"/>
    </row>
    <row r="2458" spans="1:9" ht="17.25">
      <c r="A2458" s="3">
        <f>IF(F2458="","",COUNTA($F$1249:F2458))</f>
      </c>
      <c r="B2458" s="61" t="s">
        <v>1307</v>
      </c>
      <c r="C2458" s="57"/>
      <c r="D2458" s="57" t="s">
        <v>1240</v>
      </c>
      <c r="E2458" s="89"/>
      <c r="F2458" s="89"/>
      <c r="G2458" s="125" t="e">
        <f t="shared" si="58"/>
        <v>#DIV/0!</v>
      </c>
      <c r="H2458" s="247"/>
      <c r="I2458" s="45"/>
    </row>
    <row r="2459" spans="1:9" ht="16.5">
      <c r="A2459" s="3">
        <f>IF(F2459="","",COUNTA($F$1249:F2459))</f>
        <v>1130</v>
      </c>
      <c r="B2459" s="46" t="s">
        <v>1308</v>
      </c>
      <c r="C2459" s="57" t="s">
        <v>1944</v>
      </c>
      <c r="D2459" s="57" t="s">
        <v>1293</v>
      </c>
      <c r="E2459" s="89">
        <v>1430000</v>
      </c>
      <c r="F2459" s="89">
        <v>1430000</v>
      </c>
      <c r="G2459" s="125">
        <f t="shared" si="58"/>
        <v>0</v>
      </c>
      <c r="H2459" s="247"/>
      <c r="I2459" s="45"/>
    </row>
    <row r="2460" spans="1:9" ht="16.5">
      <c r="A2460" s="3">
        <f>IF(F2460="","",COUNTA($F$1249:F2460))</f>
        <v>1131</v>
      </c>
      <c r="B2460" s="46" t="s">
        <v>1309</v>
      </c>
      <c r="C2460" s="57" t="s">
        <v>1944</v>
      </c>
      <c r="D2460" s="57" t="s">
        <v>1293</v>
      </c>
      <c r="E2460" s="89">
        <v>1760000</v>
      </c>
      <c r="F2460" s="89">
        <v>1760000</v>
      </c>
      <c r="G2460" s="125">
        <f t="shared" si="58"/>
        <v>0</v>
      </c>
      <c r="H2460" s="247"/>
      <c r="I2460" s="45"/>
    </row>
    <row r="2461" spans="1:9" ht="16.5">
      <c r="A2461" s="3">
        <f>IF(F2461="","",COUNTA($F$1249:F2461))</f>
        <v>1132</v>
      </c>
      <c r="B2461" s="46" t="s">
        <v>1310</v>
      </c>
      <c r="C2461" s="57" t="s">
        <v>1944</v>
      </c>
      <c r="D2461" s="57" t="s">
        <v>1293</v>
      </c>
      <c r="E2461" s="89">
        <v>2420000</v>
      </c>
      <c r="F2461" s="89">
        <v>2420000</v>
      </c>
      <c r="G2461" s="125">
        <f t="shared" si="58"/>
        <v>0</v>
      </c>
      <c r="H2461" s="247"/>
      <c r="I2461" s="45"/>
    </row>
    <row r="2462" spans="1:9" ht="16.5">
      <c r="A2462" s="3">
        <f>IF(F2462="","",COUNTA($F$1249:F2462))</f>
        <v>1133</v>
      </c>
      <c r="B2462" s="46" t="s">
        <v>1311</v>
      </c>
      <c r="C2462" s="57" t="s">
        <v>1944</v>
      </c>
      <c r="D2462" s="57" t="s">
        <v>1293</v>
      </c>
      <c r="E2462" s="89">
        <v>2970000</v>
      </c>
      <c r="F2462" s="89">
        <v>2970000</v>
      </c>
      <c r="G2462" s="125">
        <f t="shared" si="58"/>
        <v>0</v>
      </c>
      <c r="H2462" s="247"/>
      <c r="I2462" s="45"/>
    </row>
    <row r="2463" spans="1:9" ht="16.5">
      <c r="A2463" s="3">
        <f>IF(F2463="","",COUNTA($F$1249:F2463))</f>
        <v>1134</v>
      </c>
      <c r="B2463" s="46" t="s">
        <v>1312</v>
      </c>
      <c r="C2463" s="57" t="s">
        <v>1944</v>
      </c>
      <c r="D2463" s="57" t="s">
        <v>1293</v>
      </c>
      <c r="E2463" s="89">
        <v>4180000</v>
      </c>
      <c r="F2463" s="89">
        <v>4180000</v>
      </c>
      <c r="G2463" s="125">
        <f t="shared" si="58"/>
        <v>0</v>
      </c>
      <c r="H2463" s="247"/>
      <c r="I2463" s="45"/>
    </row>
    <row r="2464" spans="1:9" ht="16.5">
      <c r="A2464" s="3">
        <f>IF(F2464="","",COUNTA($F$1249:F2464))</f>
        <v>1135</v>
      </c>
      <c r="B2464" s="46" t="s">
        <v>1313</v>
      </c>
      <c r="C2464" s="57" t="s">
        <v>1944</v>
      </c>
      <c r="D2464" s="57" t="s">
        <v>1293</v>
      </c>
      <c r="E2464" s="89">
        <v>4950000</v>
      </c>
      <c r="F2464" s="89">
        <v>4950000</v>
      </c>
      <c r="G2464" s="125">
        <f t="shared" si="58"/>
        <v>0</v>
      </c>
      <c r="H2464" s="247"/>
      <c r="I2464" s="45"/>
    </row>
    <row r="2465" spans="1:9" ht="34.5">
      <c r="A2465" s="3">
        <f>IF(F2465="","",COUNTA($F$1249:F2465))</f>
      </c>
      <c r="B2465" s="61" t="s">
        <v>1314</v>
      </c>
      <c r="C2465" s="57"/>
      <c r="D2465" s="57" t="s">
        <v>1240</v>
      </c>
      <c r="E2465" s="89"/>
      <c r="F2465" s="89"/>
      <c r="G2465" s="125" t="e">
        <f t="shared" si="58"/>
        <v>#DIV/0!</v>
      </c>
      <c r="H2465" s="247"/>
      <c r="I2465" s="45"/>
    </row>
    <row r="2466" spans="1:9" ht="33">
      <c r="A2466" s="3">
        <f>IF(F2466="","",COUNTA($F$1249:F2466))</f>
        <v>1136</v>
      </c>
      <c r="B2466" s="46" t="s">
        <v>1315</v>
      </c>
      <c r="C2466" s="57" t="s">
        <v>1944</v>
      </c>
      <c r="D2466" s="57" t="s">
        <v>1293</v>
      </c>
      <c r="E2466" s="89">
        <v>803000</v>
      </c>
      <c r="F2466" s="89">
        <v>803000</v>
      </c>
      <c r="G2466" s="125">
        <f t="shared" si="58"/>
        <v>0</v>
      </c>
      <c r="H2466" s="247"/>
      <c r="I2466" s="45"/>
    </row>
    <row r="2467" spans="1:9" ht="33">
      <c r="A2467" s="3">
        <f>IF(F2467="","",COUNTA($F$1249:F2467))</f>
        <v>1137</v>
      </c>
      <c r="B2467" s="46" t="s">
        <v>1316</v>
      </c>
      <c r="C2467" s="57" t="s">
        <v>1944</v>
      </c>
      <c r="D2467" s="57" t="s">
        <v>1293</v>
      </c>
      <c r="E2467" s="89">
        <v>1017000</v>
      </c>
      <c r="F2467" s="89">
        <v>1017000</v>
      </c>
      <c r="G2467" s="125">
        <f t="shared" si="58"/>
        <v>0</v>
      </c>
      <c r="H2467" s="247"/>
      <c r="I2467" s="45"/>
    </row>
    <row r="2468" spans="1:9" ht="33">
      <c r="A2468" s="3">
        <f>IF(F2468="","",COUNTA($F$1249:F2468))</f>
        <v>1138</v>
      </c>
      <c r="B2468" s="46" t="s">
        <v>1317</v>
      </c>
      <c r="C2468" s="57" t="s">
        <v>1944</v>
      </c>
      <c r="D2468" s="57" t="s">
        <v>1293</v>
      </c>
      <c r="E2468" s="89">
        <v>1691000</v>
      </c>
      <c r="F2468" s="89">
        <v>1691000</v>
      </c>
      <c r="G2468" s="125">
        <f t="shared" si="58"/>
        <v>0</v>
      </c>
      <c r="H2468" s="247"/>
      <c r="I2468" s="45"/>
    </row>
    <row r="2469" spans="1:9" ht="33">
      <c r="A2469" s="3">
        <f>IF(F2469="","",COUNTA($F$1249:F2469))</f>
        <v>1139</v>
      </c>
      <c r="B2469" s="46" t="s">
        <v>1318</v>
      </c>
      <c r="C2469" s="57" t="s">
        <v>1944</v>
      </c>
      <c r="D2469" s="57" t="s">
        <v>1293</v>
      </c>
      <c r="E2469" s="89">
        <v>2333000</v>
      </c>
      <c r="F2469" s="89">
        <v>2333000</v>
      </c>
      <c r="G2469" s="125">
        <f t="shared" si="58"/>
        <v>0</v>
      </c>
      <c r="H2469" s="247"/>
      <c r="I2469" s="45"/>
    </row>
    <row r="2470" spans="1:9" ht="34.5">
      <c r="A2470" s="3">
        <f>IF(F2470="","",COUNTA($F$1249:F2470))</f>
      </c>
      <c r="B2470" s="61" t="s">
        <v>1319</v>
      </c>
      <c r="C2470" s="57"/>
      <c r="D2470" s="57"/>
      <c r="E2470" s="89"/>
      <c r="F2470" s="89"/>
      <c r="G2470" s="125" t="e">
        <f t="shared" si="58"/>
        <v>#DIV/0!</v>
      </c>
      <c r="H2470" s="247"/>
      <c r="I2470" s="45"/>
    </row>
    <row r="2471" spans="1:9" ht="33">
      <c r="A2471" s="3">
        <f>IF(F2471="","",COUNTA($F$1249:F2471))</f>
        <v>1140</v>
      </c>
      <c r="B2471" s="46" t="s">
        <v>1315</v>
      </c>
      <c r="C2471" s="57" t="s">
        <v>1944</v>
      </c>
      <c r="D2471" s="57" t="s">
        <v>1293</v>
      </c>
      <c r="E2471" s="89">
        <v>963000</v>
      </c>
      <c r="F2471" s="89">
        <v>963000</v>
      </c>
      <c r="G2471" s="125">
        <f t="shared" si="58"/>
        <v>0</v>
      </c>
      <c r="H2471" s="247"/>
      <c r="I2471" s="45"/>
    </row>
    <row r="2472" spans="1:9" ht="33">
      <c r="A2472" s="3">
        <f>IF(F2472="","",COUNTA($F$1249:F2472))</f>
        <v>1141</v>
      </c>
      <c r="B2472" s="46" t="s">
        <v>1316</v>
      </c>
      <c r="C2472" s="57" t="s">
        <v>1944</v>
      </c>
      <c r="D2472" s="57" t="s">
        <v>1293</v>
      </c>
      <c r="E2472" s="89">
        <v>1177000</v>
      </c>
      <c r="F2472" s="89">
        <v>1177000</v>
      </c>
      <c r="G2472" s="125">
        <f t="shared" si="58"/>
        <v>0</v>
      </c>
      <c r="H2472" s="247"/>
      <c r="I2472" s="45"/>
    </row>
    <row r="2473" spans="1:9" ht="33">
      <c r="A2473" s="3">
        <f>IF(F2473="","",COUNTA($F$1249:F2473))</f>
        <v>1142</v>
      </c>
      <c r="B2473" s="46" t="s">
        <v>1317</v>
      </c>
      <c r="C2473" s="57" t="s">
        <v>1944</v>
      </c>
      <c r="D2473" s="57" t="s">
        <v>1293</v>
      </c>
      <c r="E2473" s="89">
        <v>1926000</v>
      </c>
      <c r="F2473" s="89">
        <v>1926000</v>
      </c>
      <c r="G2473" s="125">
        <f t="shared" si="58"/>
        <v>0</v>
      </c>
      <c r="H2473" s="247"/>
      <c r="I2473" s="45"/>
    </row>
    <row r="2474" spans="1:9" ht="33">
      <c r="A2474" s="3">
        <f>IF(F2474="","",COUNTA($F$1249:F2474))</f>
        <v>1143</v>
      </c>
      <c r="B2474" s="46" t="s">
        <v>1320</v>
      </c>
      <c r="C2474" s="57" t="s">
        <v>1944</v>
      </c>
      <c r="D2474" s="57" t="s">
        <v>1293</v>
      </c>
      <c r="E2474" s="89">
        <v>2461000</v>
      </c>
      <c r="F2474" s="89">
        <v>2461000</v>
      </c>
      <c r="G2474" s="125">
        <f t="shared" si="58"/>
        <v>0</v>
      </c>
      <c r="H2474" s="247"/>
      <c r="I2474" s="45"/>
    </row>
    <row r="2475" spans="1:9" ht="33">
      <c r="A2475" s="3">
        <f>IF(F2475="","",COUNTA($F$1249:F2475))</f>
        <v>1144</v>
      </c>
      <c r="B2475" s="46" t="s">
        <v>1318</v>
      </c>
      <c r="C2475" s="57" t="s">
        <v>1944</v>
      </c>
      <c r="D2475" s="57" t="s">
        <v>1293</v>
      </c>
      <c r="E2475" s="89">
        <v>2729000</v>
      </c>
      <c r="F2475" s="89">
        <v>2729000</v>
      </c>
      <c r="G2475" s="125">
        <f t="shared" si="58"/>
        <v>0</v>
      </c>
      <c r="H2475" s="247"/>
      <c r="I2475" s="45"/>
    </row>
    <row r="2476" spans="1:9" ht="34.5">
      <c r="A2476" s="3">
        <f>IF(F2476="","",COUNTA($F$1249:F2476))</f>
      </c>
      <c r="B2476" s="61" t="s">
        <v>1321</v>
      </c>
      <c r="C2476" s="57"/>
      <c r="D2476" s="57"/>
      <c r="E2476" s="89"/>
      <c r="F2476" s="89"/>
      <c r="G2476" s="125" t="e">
        <f t="shared" si="58"/>
        <v>#DIV/0!</v>
      </c>
      <c r="H2476" s="247"/>
      <c r="I2476" s="45"/>
    </row>
    <row r="2477" spans="1:9" ht="16.5">
      <c r="A2477" s="3">
        <f>IF(F2477="","",COUNTA($F$1249:F2477))</f>
        <v>1145</v>
      </c>
      <c r="B2477" s="46" t="s">
        <v>1322</v>
      </c>
      <c r="C2477" s="57" t="s">
        <v>1944</v>
      </c>
      <c r="D2477" s="57" t="s">
        <v>1293</v>
      </c>
      <c r="E2477" s="89">
        <v>910000</v>
      </c>
      <c r="F2477" s="89">
        <v>910000</v>
      </c>
      <c r="G2477" s="125">
        <f t="shared" si="58"/>
        <v>0</v>
      </c>
      <c r="H2477" s="247"/>
      <c r="I2477" s="45"/>
    </row>
    <row r="2478" spans="1:9" ht="16.5">
      <c r="A2478" s="3">
        <f>IF(F2478="","",COUNTA($F$1249:F2478))</f>
        <v>1146</v>
      </c>
      <c r="B2478" s="46" t="s">
        <v>1323</v>
      </c>
      <c r="C2478" s="57" t="s">
        <v>1944</v>
      </c>
      <c r="D2478" s="57" t="s">
        <v>1293</v>
      </c>
      <c r="E2478" s="89">
        <v>1177000</v>
      </c>
      <c r="F2478" s="89">
        <v>1177000</v>
      </c>
      <c r="G2478" s="125">
        <f t="shared" si="58"/>
        <v>0</v>
      </c>
      <c r="H2478" s="247"/>
      <c r="I2478" s="45"/>
    </row>
    <row r="2479" spans="1:9" ht="16.5">
      <c r="A2479" s="3">
        <f>IF(F2479="","",COUNTA($F$1249:F2479))</f>
        <v>1147</v>
      </c>
      <c r="B2479" s="46" t="s">
        <v>1324</v>
      </c>
      <c r="C2479" s="57" t="s">
        <v>1944</v>
      </c>
      <c r="D2479" s="57" t="s">
        <v>1293</v>
      </c>
      <c r="E2479" s="89">
        <v>1905000</v>
      </c>
      <c r="F2479" s="89">
        <v>1905000</v>
      </c>
      <c r="G2479" s="125">
        <f t="shared" si="58"/>
        <v>0</v>
      </c>
      <c r="H2479" s="247"/>
      <c r="I2479" s="45"/>
    </row>
    <row r="2480" spans="1:9" ht="16.5">
      <c r="A2480" s="3">
        <f>IF(F2480="","",COUNTA($F$1249:F2480))</f>
        <v>1148</v>
      </c>
      <c r="B2480" s="46" t="s">
        <v>1325</v>
      </c>
      <c r="C2480" s="57" t="s">
        <v>1944</v>
      </c>
      <c r="D2480" s="57" t="s">
        <v>1293</v>
      </c>
      <c r="E2480" s="89">
        <v>2654000</v>
      </c>
      <c r="F2480" s="89">
        <v>2654000</v>
      </c>
      <c r="G2480" s="125">
        <f t="shared" si="58"/>
        <v>0</v>
      </c>
      <c r="H2480" s="247"/>
      <c r="I2480" s="45"/>
    </row>
    <row r="2481" spans="1:9" ht="34.5">
      <c r="A2481" s="3">
        <f>IF(F2481="","",COUNTA($F$1249:F2481))</f>
      </c>
      <c r="B2481" s="61" t="s">
        <v>1326</v>
      </c>
      <c r="C2481" s="57"/>
      <c r="D2481" s="57"/>
      <c r="E2481" s="89"/>
      <c r="F2481" s="89"/>
      <c r="G2481" s="125" t="e">
        <f t="shared" si="58"/>
        <v>#DIV/0!</v>
      </c>
      <c r="H2481" s="247"/>
      <c r="I2481" s="45"/>
    </row>
    <row r="2482" spans="1:9" ht="16.5">
      <c r="A2482" s="3">
        <f>IF(F2482="","",COUNTA($F$1249:F2482))</f>
        <v>1149</v>
      </c>
      <c r="B2482" s="46" t="s">
        <v>1322</v>
      </c>
      <c r="C2482" s="57" t="s">
        <v>1944</v>
      </c>
      <c r="D2482" s="57" t="s">
        <v>1293</v>
      </c>
      <c r="E2482" s="89">
        <v>1017000</v>
      </c>
      <c r="F2482" s="89">
        <v>1017000</v>
      </c>
      <c r="G2482" s="125">
        <f t="shared" si="58"/>
        <v>0</v>
      </c>
      <c r="H2482" s="247"/>
      <c r="I2482" s="45"/>
    </row>
    <row r="2483" spans="1:9" ht="16.5">
      <c r="A2483" s="3">
        <f>IF(F2483="","",COUNTA($F$1249:F2483))</f>
        <v>1150</v>
      </c>
      <c r="B2483" s="46" t="s">
        <v>1323</v>
      </c>
      <c r="C2483" s="57" t="s">
        <v>1944</v>
      </c>
      <c r="D2483" s="57" t="s">
        <v>1293</v>
      </c>
      <c r="E2483" s="89">
        <v>1231000</v>
      </c>
      <c r="F2483" s="89">
        <v>1231000</v>
      </c>
      <c r="G2483" s="125">
        <f t="shared" si="58"/>
        <v>0</v>
      </c>
      <c r="H2483" s="247"/>
      <c r="I2483" s="45"/>
    </row>
    <row r="2484" spans="1:9" ht="16.5">
      <c r="A2484" s="3">
        <f>IF(F2484="","",COUNTA($F$1249:F2484))</f>
        <v>1151</v>
      </c>
      <c r="B2484" s="46" t="s">
        <v>1324</v>
      </c>
      <c r="C2484" s="57" t="s">
        <v>1944</v>
      </c>
      <c r="D2484" s="57" t="s">
        <v>1293</v>
      </c>
      <c r="E2484" s="89">
        <v>1980000</v>
      </c>
      <c r="F2484" s="89">
        <v>1980000</v>
      </c>
      <c r="G2484" s="125">
        <f t="shared" si="58"/>
        <v>0</v>
      </c>
      <c r="H2484" s="247"/>
      <c r="I2484" s="45"/>
    </row>
    <row r="2485" spans="1:9" ht="16.5">
      <c r="A2485" s="3">
        <f>IF(F2485="","",COUNTA($F$1249:F2485))</f>
        <v>1152</v>
      </c>
      <c r="B2485" s="46" t="s">
        <v>1327</v>
      </c>
      <c r="C2485" s="57" t="s">
        <v>1944</v>
      </c>
      <c r="D2485" s="57" t="s">
        <v>1293</v>
      </c>
      <c r="E2485" s="89">
        <v>2675000</v>
      </c>
      <c r="F2485" s="89">
        <v>2675000</v>
      </c>
      <c r="G2485" s="125">
        <f t="shared" si="58"/>
        <v>0</v>
      </c>
      <c r="H2485" s="247"/>
      <c r="I2485" s="45"/>
    </row>
    <row r="2486" spans="1:9" ht="16.5">
      <c r="A2486" s="3">
        <f>IF(F2486="","",COUNTA($F$1249:F2486))</f>
        <v>1153</v>
      </c>
      <c r="B2486" s="46" t="s">
        <v>1325</v>
      </c>
      <c r="C2486" s="57" t="s">
        <v>1944</v>
      </c>
      <c r="D2486" s="57" t="s">
        <v>1293</v>
      </c>
      <c r="E2486" s="89">
        <v>2889000</v>
      </c>
      <c r="F2486" s="89">
        <v>2889000</v>
      </c>
      <c r="G2486" s="125">
        <f t="shared" si="58"/>
        <v>0</v>
      </c>
      <c r="H2486" s="247"/>
      <c r="I2486" s="45"/>
    </row>
    <row r="2487" spans="1:9" ht="34.5">
      <c r="A2487" s="3">
        <f>IF(F2487="","",COUNTA($F$1249:F2487))</f>
      </c>
      <c r="B2487" s="61" t="s">
        <v>1328</v>
      </c>
      <c r="C2487" s="57"/>
      <c r="D2487" s="57"/>
      <c r="E2487" s="89"/>
      <c r="F2487" s="89"/>
      <c r="G2487" s="125" t="e">
        <f t="shared" si="58"/>
        <v>#DIV/0!</v>
      </c>
      <c r="H2487" s="247"/>
      <c r="I2487" s="45"/>
    </row>
    <row r="2488" spans="1:9" ht="33">
      <c r="A2488" s="3">
        <f>IF(F2488="","",COUNTA($F$1249:F2488))</f>
        <v>1154</v>
      </c>
      <c r="B2488" s="46" t="s">
        <v>1329</v>
      </c>
      <c r="C2488" s="57" t="s">
        <v>1944</v>
      </c>
      <c r="D2488" s="57" t="s">
        <v>1293</v>
      </c>
      <c r="E2488" s="89">
        <v>1320000</v>
      </c>
      <c r="F2488" s="89">
        <v>1320000</v>
      </c>
      <c r="G2488" s="125">
        <f aca="true" t="shared" si="59" ref="G2488:G2551">(E2488-F2488)/E2488</f>
        <v>0</v>
      </c>
      <c r="H2488" s="247"/>
      <c r="I2488" s="45"/>
    </row>
    <row r="2489" spans="1:9" ht="33">
      <c r="A2489" s="3">
        <f>IF(F2489="","",COUNTA($F$1249:F2489))</f>
        <v>1155</v>
      </c>
      <c r="B2489" s="46" t="s">
        <v>1330</v>
      </c>
      <c r="C2489" s="57" t="s">
        <v>1944</v>
      </c>
      <c r="D2489" s="57" t="s">
        <v>1293</v>
      </c>
      <c r="E2489" s="89">
        <v>1595000</v>
      </c>
      <c r="F2489" s="89">
        <v>1595000</v>
      </c>
      <c r="G2489" s="125">
        <f t="shared" si="59"/>
        <v>0</v>
      </c>
      <c r="H2489" s="247"/>
      <c r="I2489" s="45"/>
    </row>
    <row r="2490" spans="1:9" ht="33">
      <c r="A2490" s="3">
        <f>IF(F2490="","",COUNTA($F$1249:F2490))</f>
        <v>1156</v>
      </c>
      <c r="B2490" s="46" t="s">
        <v>1331</v>
      </c>
      <c r="C2490" s="57" t="s">
        <v>1944</v>
      </c>
      <c r="D2490" s="57" t="s">
        <v>1293</v>
      </c>
      <c r="E2490" s="89">
        <v>2585000</v>
      </c>
      <c r="F2490" s="89">
        <v>2585000</v>
      </c>
      <c r="G2490" s="125">
        <f t="shared" si="59"/>
        <v>0</v>
      </c>
      <c r="H2490" s="247"/>
      <c r="I2490" s="45"/>
    </row>
    <row r="2491" spans="1:9" ht="33">
      <c r="A2491" s="3">
        <f>IF(F2491="","",COUNTA($F$1249:F2491))</f>
        <v>1157</v>
      </c>
      <c r="B2491" s="46" t="s">
        <v>1332</v>
      </c>
      <c r="C2491" s="57" t="s">
        <v>1944</v>
      </c>
      <c r="D2491" s="57" t="s">
        <v>1293</v>
      </c>
      <c r="E2491" s="89">
        <v>2998000</v>
      </c>
      <c r="F2491" s="89">
        <v>2998000</v>
      </c>
      <c r="G2491" s="125">
        <f t="shared" si="59"/>
        <v>0</v>
      </c>
      <c r="H2491" s="247"/>
      <c r="I2491" s="45"/>
    </row>
    <row r="2492" spans="1:9" ht="33">
      <c r="A2492" s="3">
        <f>IF(F2492="","",COUNTA($F$1249:F2492))</f>
        <v>1158</v>
      </c>
      <c r="B2492" s="46" t="s">
        <v>1333</v>
      </c>
      <c r="C2492" s="57" t="s">
        <v>1944</v>
      </c>
      <c r="D2492" s="57" t="s">
        <v>1293</v>
      </c>
      <c r="E2492" s="89">
        <v>4070000</v>
      </c>
      <c r="F2492" s="89">
        <v>4070000</v>
      </c>
      <c r="G2492" s="125">
        <f t="shared" si="59"/>
        <v>0</v>
      </c>
      <c r="H2492" s="247"/>
      <c r="I2492" s="45"/>
    </row>
    <row r="2493" spans="1:9" ht="34.5">
      <c r="A2493" s="3">
        <f>IF(F2493="","",COUNTA($F$1249:F2493))</f>
      </c>
      <c r="B2493" s="61" t="s">
        <v>1334</v>
      </c>
      <c r="C2493" s="57"/>
      <c r="D2493" s="57"/>
      <c r="E2493" s="89"/>
      <c r="F2493" s="89"/>
      <c r="G2493" s="125" t="e">
        <f t="shared" si="59"/>
        <v>#DIV/0!</v>
      </c>
      <c r="H2493" s="247"/>
      <c r="I2493" s="45"/>
    </row>
    <row r="2494" spans="1:9" ht="16.5">
      <c r="A2494" s="3">
        <f>IF(F2494="","",COUNTA($F$1249:F2494))</f>
        <v>1159</v>
      </c>
      <c r="B2494" s="46" t="s">
        <v>1335</v>
      </c>
      <c r="C2494" s="57" t="s">
        <v>1944</v>
      </c>
      <c r="D2494" s="57" t="s">
        <v>1293</v>
      </c>
      <c r="E2494" s="89">
        <v>1375000</v>
      </c>
      <c r="F2494" s="89">
        <v>1375000</v>
      </c>
      <c r="G2494" s="125">
        <f t="shared" si="59"/>
        <v>0</v>
      </c>
      <c r="H2494" s="247"/>
      <c r="I2494" s="45"/>
    </row>
    <row r="2495" spans="1:9" ht="33">
      <c r="A2495" s="3">
        <f>IF(F2495="","",COUNTA($F$1249:F2495))</f>
        <v>1160</v>
      </c>
      <c r="B2495" s="46" t="s">
        <v>1336</v>
      </c>
      <c r="C2495" s="57" t="s">
        <v>1944</v>
      </c>
      <c r="D2495" s="57" t="s">
        <v>1293</v>
      </c>
      <c r="E2495" s="89">
        <v>1650000</v>
      </c>
      <c r="F2495" s="89">
        <v>1650000</v>
      </c>
      <c r="G2495" s="125">
        <f t="shared" si="59"/>
        <v>0</v>
      </c>
      <c r="H2495" s="247"/>
      <c r="I2495" s="45"/>
    </row>
    <row r="2496" spans="1:9" ht="33">
      <c r="A2496" s="3">
        <f>IF(F2496="","",COUNTA($F$1249:F2496))</f>
        <v>1161</v>
      </c>
      <c r="B2496" s="46" t="s">
        <v>1337</v>
      </c>
      <c r="C2496" s="57" t="s">
        <v>1944</v>
      </c>
      <c r="D2496" s="57" t="s">
        <v>1293</v>
      </c>
      <c r="E2496" s="89">
        <v>2640000</v>
      </c>
      <c r="F2496" s="89">
        <v>2640000</v>
      </c>
      <c r="G2496" s="125">
        <f t="shared" si="59"/>
        <v>0</v>
      </c>
      <c r="H2496" s="247"/>
      <c r="I2496" s="45"/>
    </row>
    <row r="2497" spans="1:9" ht="33">
      <c r="A2497" s="3">
        <f>IF(F2497="","",COUNTA($F$1249:F2497))</f>
        <v>1162</v>
      </c>
      <c r="B2497" s="46" t="s">
        <v>1338</v>
      </c>
      <c r="C2497" s="57" t="s">
        <v>1944</v>
      </c>
      <c r="D2497" s="57" t="s">
        <v>1293</v>
      </c>
      <c r="E2497" s="89">
        <v>3135000</v>
      </c>
      <c r="F2497" s="89">
        <v>3135000</v>
      </c>
      <c r="G2497" s="125">
        <f t="shared" si="59"/>
        <v>0</v>
      </c>
      <c r="H2497" s="247"/>
      <c r="I2497" s="45"/>
    </row>
    <row r="2498" spans="1:9" ht="33">
      <c r="A2498" s="3">
        <f>IF(F2498="","",COUNTA($F$1249:F2498))</f>
        <v>1163</v>
      </c>
      <c r="B2498" s="46" t="s">
        <v>1339</v>
      </c>
      <c r="C2498" s="57" t="s">
        <v>1944</v>
      </c>
      <c r="D2498" s="57" t="s">
        <v>1293</v>
      </c>
      <c r="E2498" s="89">
        <v>4290000</v>
      </c>
      <c r="F2498" s="89">
        <v>4290000</v>
      </c>
      <c r="G2498" s="125">
        <f t="shared" si="59"/>
        <v>0</v>
      </c>
      <c r="H2498" s="247"/>
      <c r="I2498" s="45"/>
    </row>
    <row r="2499" spans="1:9" ht="17.25">
      <c r="A2499" s="3">
        <f>IF(F2499="","",COUNTA($F$1249:F2499))</f>
      </c>
      <c r="B2499" s="61" t="s">
        <v>1340</v>
      </c>
      <c r="C2499" s="57"/>
      <c r="D2499" s="57"/>
      <c r="E2499" s="89"/>
      <c r="F2499" s="89"/>
      <c r="G2499" s="125" t="e">
        <f t="shared" si="59"/>
        <v>#DIV/0!</v>
      </c>
      <c r="H2499" s="247"/>
      <c r="I2499" s="45"/>
    </row>
    <row r="2500" spans="1:9" ht="16.5">
      <c r="A2500" s="3">
        <f>IF(F2500="","",COUNTA($F$1249:F2500))</f>
        <v>1164</v>
      </c>
      <c r="B2500" s="46" t="s">
        <v>1341</v>
      </c>
      <c r="C2500" s="57" t="s">
        <v>1944</v>
      </c>
      <c r="D2500" s="57" t="s">
        <v>1293</v>
      </c>
      <c r="E2500" s="89">
        <v>738000</v>
      </c>
      <c r="F2500" s="89">
        <v>738000</v>
      </c>
      <c r="G2500" s="125">
        <f t="shared" si="59"/>
        <v>0</v>
      </c>
      <c r="H2500" s="247"/>
      <c r="I2500" s="45"/>
    </row>
    <row r="2501" spans="1:9" ht="16.5">
      <c r="A2501" s="3">
        <f>IF(F2501="","",COUNTA($F$1249:F2501))</f>
        <v>1165</v>
      </c>
      <c r="B2501" s="46" t="s">
        <v>1342</v>
      </c>
      <c r="C2501" s="57" t="s">
        <v>1944</v>
      </c>
      <c r="D2501" s="57" t="s">
        <v>1293</v>
      </c>
      <c r="E2501" s="89">
        <v>1241000</v>
      </c>
      <c r="F2501" s="89">
        <v>1241000</v>
      </c>
      <c r="G2501" s="125">
        <f t="shared" si="59"/>
        <v>0</v>
      </c>
      <c r="H2501" s="247"/>
      <c r="I2501" s="45"/>
    </row>
    <row r="2502" spans="1:9" ht="16.5">
      <c r="A2502" s="3">
        <f>IF(F2502="","",COUNTA($F$1249:F2502))</f>
        <v>1166</v>
      </c>
      <c r="B2502" s="46" t="s">
        <v>1343</v>
      </c>
      <c r="C2502" s="57" t="s">
        <v>1944</v>
      </c>
      <c r="D2502" s="57" t="s">
        <v>1293</v>
      </c>
      <c r="E2502" s="89">
        <v>1530000</v>
      </c>
      <c r="F2502" s="89">
        <v>1530000</v>
      </c>
      <c r="G2502" s="125">
        <f t="shared" si="59"/>
        <v>0</v>
      </c>
      <c r="H2502" s="247"/>
      <c r="I2502" s="45"/>
    </row>
    <row r="2503" spans="1:9" ht="17.25">
      <c r="A2503" s="3">
        <f>IF(F2503="","",COUNTA($F$1249:F2503))</f>
      </c>
      <c r="B2503" s="61" t="s">
        <v>1344</v>
      </c>
      <c r="C2503" s="57" t="s">
        <v>1944</v>
      </c>
      <c r="D2503" s="57" t="s">
        <v>1293</v>
      </c>
      <c r="E2503" s="89"/>
      <c r="F2503" s="89"/>
      <c r="G2503" s="125" t="e">
        <f t="shared" si="59"/>
        <v>#DIV/0!</v>
      </c>
      <c r="H2503" s="247"/>
      <c r="I2503" s="45"/>
    </row>
    <row r="2504" spans="1:9" ht="16.5">
      <c r="A2504" s="3">
        <f>IF(F2504="","",COUNTA($F$1249:F2504))</f>
        <v>1167</v>
      </c>
      <c r="B2504" s="46" t="s">
        <v>1345</v>
      </c>
      <c r="C2504" s="57" t="s">
        <v>1944</v>
      </c>
      <c r="D2504" s="57" t="s">
        <v>1293</v>
      </c>
      <c r="E2504" s="89">
        <v>2515000</v>
      </c>
      <c r="F2504" s="89">
        <v>2515000</v>
      </c>
      <c r="G2504" s="125">
        <f t="shared" si="59"/>
        <v>0</v>
      </c>
      <c r="H2504" s="247"/>
      <c r="I2504" s="45"/>
    </row>
    <row r="2505" spans="1:9" ht="34.5">
      <c r="A2505" s="3">
        <f>IF(F2505="","",COUNTA($F$1249:F2505))</f>
      </c>
      <c r="B2505" s="61" t="s">
        <v>1346</v>
      </c>
      <c r="C2505" s="57"/>
      <c r="D2505" s="57"/>
      <c r="E2505" s="89"/>
      <c r="F2505" s="89"/>
      <c r="G2505" s="125" t="e">
        <f t="shared" si="59"/>
        <v>#DIV/0!</v>
      </c>
      <c r="H2505" s="247"/>
      <c r="I2505" s="45"/>
    </row>
    <row r="2506" spans="1:9" ht="16.5">
      <c r="A2506" s="3">
        <f>IF(F2506="","",COUNTA($F$1249:F2506))</f>
        <v>1168</v>
      </c>
      <c r="B2506" s="46" t="s">
        <v>1347</v>
      </c>
      <c r="C2506" s="57" t="s">
        <v>1944</v>
      </c>
      <c r="D2506" s="57" t="s">
        <v>1293</v>
      </c>
      <c r="E2506" s="89">
        <v>2145000</v>
      </c>
      <c r="F2506" s="89">
        <v>2145000</v>
      </c>
      <c r="G2506" s="125">
        <f t="shared" si="59"/>
        <v>0</v>
      </c>
      <c r="H2506" s="247"/>
      <c r="I2506" s="45"/>
    </row>
    <row r="2507" spans="1:9" ht="16.5">
      <c r="A2507" s="3">
        <f>IF(F2507="","",COUNTA($F$1249:F2507))</f>
        <v>1169</v>
      </c>
      <c r="B2507" s="46" t="s">
        <v>1348</v>
      </c>
      <c r="C2507" s="57" t="s">
        <v>1944</v>
      </c>
      <c r="D2507" s="57" t="s">
        <v>1293</v>
      </c>
      <c r="E2507" s="89">
        <v>2035000</v>
      </c>
      <c r="F2507" s="89">
        <v>2035000</v>
      </c>
      <c r="G2507" s="125">
        <f t="shared" si="59"/>
        <v>0</v>
      </c>
      <c r="H2507" s="247"/>
      <c r="I2507" s="45"/>
    </row>
    <row r="2508" spans="1:9" ht="16.5">
      <c r="A2508" s="3">
        <f>IF(F2508="","",COUNTA($F$1249:F2508))</f>
        <v>1170</v>
      </c>
      <c r="B2508" s="46" t="s">
        <v>1349</v>
      </c>
      <c r="C2508" s="57" t="s">
        <v>1944</v>
      </c>
      <c r="D2508" s="57" t="s">
        <v>1293</v>
      </c>
      <c r="E2508" s="89">
        <v>2750000</v>
      </c>
      <c r="F2508" s="89">
        <v>2750000</v>
      </c>
      <c r="G2508" s="125">
        <f t="shared" si="59"/>
        <v>0</v>
      </c>
      <c r="H2508" s="247"/>
      <c r="I2508" s="45"/>
    </row>
    <row r="2509" spans="1:9" ht="16.5">
      <c r="A2509" s="3">
        <f>IF(F2509="","",COUNTA($F$1249:F2509))</f>
        <v>1171</v>
      </c>
      <c r="B2509" s="46" t="s">
        <v>1350</v>
      </c>
      <c r="C2509" s="57" t="s">
        <v>1944</v>
      </c>
      <c r="D2509" s="57" t="s">
        <v>1293</v>
      </c>
      <c r="E2509" s="89">
        <v>2915000</v>
      </c>
      <c r="F2509" s="89">
        <v>2915000</v>
      </c>
      <c r="G2509" s="125">
        <f t="shared" si="59"/>
        <v>0</v>
      </c>
      <c r="H2509" s="247"/>
      <c r="I2509" s="45"/>
    </row>
    <row r="2510" spans="1:9" ht="16.5">
      <c r="A2510" s="3">
        <f>IF(F2510="","",COUNTA($F$1249:F2510))</f>
        <v>1172</v>
      </c>
      <c r="B2510" s="46" t="s">
        <v>1351</v>
      </c>
      <c r="C2510" s="57" t="s">
        <v>1944</v>
      </c>
      <c r="D2510" s="57" t="s">
        <v>1293</v>
      </c>
      <c r="E2510" s="89">
        <v>3663000</v>
      </c>
      <c r="F2510" s="89">
        <v>3663000</v>
      </c>
      <c r="G2510" s="125">
        <f t="shared" si="59"/>
        <v>0</v>
      </c>
      <c r="H2510" s="247"/>
      <c r="I2510" s="45"/>
    </row>
    <row r="2511" spans="1:9" ht="16.5">
      <c r="A2511" s="3">
        <f>IF(F2511="","",COUNTA($F$1249:F2511))</f>
        <v>1173</v>
      </c>
      <c r="B2511" s="46" t="s">
        <v>1352</v>
      </c>
      <c r="C2511" s="57" t="s">
        <v>1944</v>
      </c>
      <c r="D2511" s="57" t="s">
        <v>1293</v>
      </c>
      <c r="E2511" s="89">
        <v>3465000</v>
      </c>
      <c r="F2511" s="89">
        <v>3465000</v>
      </c>
      <c r="G2511" s="125">
        <f t="shared" si="59"/>
        <v>0</v>
      </c>
      <c r="H2511" s="247"/>
      <c r="I2511" s="45"/>
    </row>
    <row r="2512" spans="1:9" ht="16.5">
      <c r="A2512" s="3">
        <f>IF(F2512="","",COUNTA($F$1249:F2512))</f>
        <v>1174</v>
      </c>
      <c r="B2512" s="46" t="s">
        <v>1353</v>
      </c>
      <c r="C2512" s="57" t="s">
        <v>1944</v>
      </c>
      <c r="D2512" s="57" t="s">
        <v>1293</v>
      </c>
      <c r="E2512" s="89">
        <v>3685000</v>
      </c>
      <c r="F2512" s="89">
        <v>3685000</v>
      </c>
      <c r="G2512" s="125">
        <f t="shared" si="59"/>
        <v>0</v>
      </c>
      <c r="H2512" s="247"/>
      <c r="I2512" s="45"/>
    </row>
    <row r="2513" spans="1:9" ht="16.5">
      <c r="A2513" s="3">
        <f>IF(F2513="","",COUNTA($F$1249:F2513))</f>
        <v>1175</v>
      </c>
      <c r="B2513" s="46" t="s">
        <v>1354</v>
      </c>
      <c r="C2513" s="57" t="s">
        <v>1944</v>
      </c>
      <c r="D2513" s="57" t="s">
        <v>1293</v>
      </c>
      <c r="E2513" s="89">
        <v>4235000</v>
      </c>
      <c r="F2513" s="89">
        <v>4235000</v>
      </c>
      <c r="G2513" s="125">
        <f t="shared" si="59"/>
        <v>0</v>
      </c>
      <c r="H2513" s="247"/>
      <c r="I2513" s="45"/>
    </row>
    <row r="2514" spans="1:9" ht="16.5">
      <c r="A2514" s="3">
        <f>IF(F2514="","",COUNTA($F$1249:F2514))</f>
        <v>1176</v>
      </c>
      <c r="B2514" s="46" t="s">
        <v>1355</v>
      </c>
      <c r="C2514" s="57" t="s">
        <v>1944</v>
      </c>
      <c r="D2514" s="57" t="s">
        <v>1293</v>
      </c>
      <c r="E2514" s="89">
        <v>3685000</v>
      </c>
      <c r="F2514" s="89">
        <v>3685000</v>
      </c>
      <c r="G2514" s="125">
        <f t="shared" si="59"/>
        <v>0</v>
      </c>
      <c r="H2514" s="247"/>
      <c r="I2514" s="45"/>
    </row>
    <row r="2515" spans="1:9" ht="16.5">
      <c r="A2515" s="3">
        <f>IF(F2515="","",COUNTA($F$1249:F2515))</f>
        <v>1177</v>
      </c>
      <c r="B2515" s="46" t="s">
        <v>1356</v>
      </c>
      <c r="C2515" s="57" t="s">
        <v>1944</v>
      </c>
      <c r="D2515" s="57" t="s">
        <v>1293</v>
      </c>
      <c r="E2515" s="89">
        <v>4620000</v>
      </c>
      <c r="F2515" s="89">
        <v>4620000</v>
      </c>
      <c r="G2515" s="125">
        <f t="shared" si="59"/>
        <v>0</v>
      </c>
      <c r="H2515" s="247"/>
      <c r="I2515" s="45"/>
    </row>
    <row r="2516" spans="1:9" ht="16.5">
      <c r="A2516" s="3">
        <f>IF(F2516="","",COUNTA($F$1249:F2516))</f>
        <v>1178</v>
      </c>
      <c r="B2516" s="46" t="s">
        <v>1357</v>
      </c>
      <c r="C2516" s="57" t="s">
        <v>1944</v>
      </c>
      <c r="D2516" s="57" t="s">
        <v>1293</v>
      </c>
      <c r="E2516" s="89">
        <v>4950000</v>
      </c>
      <c r="F2516" s="89">
        <v>4950000</v>
      </c>
      <c r="G2516" s="125">
        <f t="shared" si="59"/>
        <v>0</v>
      </c>
      <c r="H2516" s="247"/>
      <c r="I2516" s="45"/>
    </row>
    <row r="2517" spans="1:9" ht="16.5">
      <c r="A2517" s="3">
        <f>IF(F2517="","",COUNTA($F$1249:F2517))</f>
        <v>1179</v>
      </c>
      <c r="B2517" s="46" t="s">
        <v>1358</v>
      </c>
      <c r="C2517" s="57" t="s">
        <v>1944</v>
      </c>
      <c r="D2517" s="57" t="s">
        <v>1293</v>
      </c>
      <c r="E2517" s="89">
        <v>5060000</v>
      </c>
      <c r="F2517" s="89">
        <v>5060000</v>
      </c>
      <c r="G2517" s="125">
        <f t="shared" si="59"/>
        <v>0</v>
      </c>
      <c r="H2517" s="247"/>
      <c r="I2517" s="45"/>
    </row>
    <row r="2518" spans="1:9" ht="34.5">
      <c r="A2518" s="3">
        <f>IF(F2518="","",COUNTA($F$1249:F2518))</f>
      </c>
      <c r="B2518" s="61" t="s">
        <v>1359</v>
      </c>
      <c r="C2518" s="57"/>
      <c r="D2518" s="57"/>
      <c r="E2518" s="89"/>
      <c r="F2518" s="89"/>
      <c r="G2518" s="125" t="e">
        <f t="shared" si="59"/>
        <v>#DIV/0!</v>
      </c>
      <c r="H2518" s="247"/>
      <c r="I2518" s="45"/>
    </row>
    <row r="2519" spans="1:9" ht="16.5">
      <c r="A2519" s="3">
        <f>IF(F2519="","",COUNTA($F$1249:F2519))</f>
        <v>1180</v>
      </c>
      <c r="B2519" s="46" t="s">
        <v>1360</v>
      </c>
      <c r="C2519" s="57" t="s">
        <v>1944</v>
      </c>
      <c r="D2519" s="57" t="s">
        <v>1293</v>
      </c>
      <c r="E2519" s="89">
        <v>1947000</v>
      </c>
      <c r="F2519" s="89">
        <v>1947000</v>
      </c>
      <c r="G2519" s="125">
        <f t="shared" si="59"/>
        <v>0</v>
      </c>
      <c r="H2519" s="247"/>
      <c r="I2519" s="45"/>
    </row>
    <row r="2520" spans="1:9" ht="16.5">
      <c r="A2520" s="3">
        <f>IF(F2520="","",COUNTA($F$1249:F2520))</f>
        <v>1181</v>
      </c>
      <c r="B2520" s="46" t="s">
        <v>1347</v>
      </c>
      <c r="C2520" s="57" t="s">
        <v>1944</v>
      </c>
      <c r="D2520" s="57" t="s">
        <v>1293</v>
      </c>
      <c r="E2520" s="89">
        <v>2420000</v>
      </c>
      <c r="F2520" s="89">
        <v>2420000</v>
      </c>
      <c r="G2520" s="125">
        <f t="shared" si="59"/>
        <v>0</v>
      </c>
      <c r="H2520" s="247"/>
      <c r="I2520" s="45"/>
    </row>
    <row r="2521" spans="1:9" ht="16.5">
      <c r="A2521" s="3">
        <f>IF(F2521="","",COUNTA($F$1249:F2521))</f>
        <v>1182</v>
      </c>
      <c r="B2521" s="46" t="s">
        <v>1348</v>
      </c>
      <c r="C2521" s="57" t="s">
        <v>1944</v>
      </c>
      <c r="D2521" s="57" t="s">
        <v>1293</v>
      </c>
      <c r="E2521" s="89">
        <v>2448000</v>
      </c>
      <c r="F2521" s="89">
        <v>2448000</v>
      </c>
      <c r="G2521" s="125">
        <f t="shared" si="59"/>
        <v>0</v>
      </c>
      <c r="H2521" s="247"/>
      <c r="I2521" s="45"/>
    </row>
    <row r="2522" spans="1:9" ht="16.5">
      <c r="A2522" s="3">
        <f>IF(F2522="","",COUNTA($F$1249:F2522))</f>
        <v>1183</v>
      </c>
      <c r="B2522" s="46" t="s">
        <v>1349</v>
      </c>
      <c r="C2522" s="57" t="s">
        <v>1944</v>
      </c>
      <c r="D2522" s="57" t="s">
        <v>1293</v>
      </c>
      <c r="E2522" s="89">
        <v>3377000</v>
      </c>
      <c r="F2522" s="89">
        <v>3377000</v>
      </c>
      <c r="G2522" s="125">
        <f t="shared" si="59"/>
        <v>0</v>
      </c>
      <c r="H2522" s="247"/>
      <c r="I2522" s="45"/>
    </row>
    <row r="2523" spans="1:9" ht="16.5">
      <c r="A2523" s="3">
        <f>IF(F2523="","",COUNTA($F$1249:F2523))</f>
        <v>1184</v>
      </c>
      <c r="B2523" s="46" t="s">
        <v>1350</v>
      </c>
      <c r="C2523" s="57" t="s">
        <v>1944</v>
      </c>
      <c r="D2523" s="57" t="s">
        <v>1293</v>
      </c>
      <c r="E2523" s="89">
        <v>3658000</v>
      </c>
      <c r="F2523" s="89">
        <v>3658000</v>
      </c>
      <c r="G2523" s="125">
        <f t="shared" si="59"/>
        <v>0</v>
      </c>
      <c r="H2523" s="247"/>
      <c r="I2523" s="45"/>
    </row>
    <row r="2524" spans="1:9" ht="16.5">
      <c r="A2524" s="3">
        <f>IF(F2524="","",COUNTA($F$1249:F2524))</f>
        <v>1185</v>
      </c>
      <c r="B2524" s="46" t="s">
        <v>1351</v>
      </c>
      <c r="C2524" s="57" t="s">
        <v>1944</v>
      </c>
      <c r="D2524" s="57" t="s">
        <v>1293</v>
      </c>
      <c r="E2524" s="89">
        <v>3966000</v>
      </c>
      <c r="F2524" s="89">
        <v>3966000</v>
      </c>
      <c r="G2524" s="125">
        <f t="shared" si="59"/>
        <v>0</v>
      </c>
      <c r="H2524" s="247"/>
      <c r="I2524" s="45"/>
    </row>
    <row r="2525" spans="1:9" ht="16.5">
      <c r="A2525" s="3">
        <f>IF(F2525="","",COUNTA($F$1249:F2525))</f>
        <v>1186</v>
      </c>
      <c r="B2525" s="46" t="s">
        <v>1352</v>
      </c>
      <c r="C2525" s="57" t="s">
        <v>1944</v>
      </c>
      <c r="D2525" s="57" t="s">
        <v>1293</v>
      </c>
      <c r="E2525" s="89">
        <v>3768000</v>
      </c>
      <c r="F2525" s="89">
        <v>3768000</v>
      </c>
      <c r="G2525" s="125">
        <f t="shared" si="59"/>
        <v>0</v>
      </c>
      <c r="H2525" s="247"/>
      <c r="I2525" s="45"/>
    </row>
    <row r="2526" spans="1:9" ht="16.5">
      <c r="A2526" s="3">
        <f>IF(F2526="","",COUNTA($F$1249:F2526))</f>
        <v>1187</v>
      </c>
      <c r="B2526" s="46" t="s">
        <v>1353</v>
      </c>
      <c r="C2526" s="57" t="s">
        <v>1944</v>
      </c>
      <c r="D2526" s="57" t="s">
        <v>1293</v>
      </c>
      <c r="E2526" s="89">
        <v>4208000</v>
      </c>
      <c r="F2526" s="89">
        <v>4208000</v>
      </c>
      <c r="G2526" s="125">
        <f t="shared" si="59"/>
        <v>0</v>
      </c>
      <c r="H2526" s="247"/>
      <c r="I2526" s="45"/>
    </row>
    <row r="2527" spans="1:9" ht="16.5">
      <c r="A2527" s="3">
        <f>IF(F2527="","",COUNTA($F$1249:F2527))</f>
        <v>1188</v>
      </c>
      <c r="B2527" s="46" t="s">
        <v>1354</v>
      </c>
      <c r="C2527" s="57" t="s">
        <v>1944</v>
      </c>
      <c r="D2527" s="57" t="s">
        <v>1293</v>
      </c>
      <c r="E2527" s="89">
        <v>4813000</v>
      </c>
      <c r="F2527" s="89">
        <v>4813000</v>
      </c>
      <c r="G2527" s="125">
        <f t="shared" si="59"/>
        <v>0</v>
      </c>
      <c r="H2527" s="247"/>
      <c r="I2527" s="45"/>
    </row>
    <row r="2528" spans="1:9" ht="16.5">
      <c r="A2528" s="3">
        <f>IF(F2528="","",COUNTA($F$1249:F2528))</f>
        <v>1189</v>
      </c>
      <c r="B2528" s="46" t="s">
        <v>1355</v>
      </c>
      <c r="C2528" s="57" t="s">
        <v>1944</v>
      </c>
      <c r="D2528" s="57" t="s">
        <v>1293</v>
      </c>
      <c r="E2528" s="89">
        <v>4290000</v>
      </c>
      <c r="F2528" s="89">
        <v>4290000</v>
      </c>
      <c r="G2528" s="125">
        <f t="shared" si="59"/>
        <v>0</v>
      </c>
      <c r="H2528" s="247"/>
      <c r="I2528" s="45"/>
    </row>
    <row r="2529" spans="1:9" ht="16.5">
      <c r="A2529" s="3">
        <f>IF(F2529="","",COUNTA($F$1249:F2529))</f>
        <v>1190</v>
      </c>
      <c r="B2529" s="46" t="s">
        <v>1356</v>
      </c>
      <c r="C2529" s="57" t="s">
        <v>1944</v>
      </c>
      <c r="D2529" s="57" t="s">
        <v>1293</v>
      </c>
      <c r="E2529" s="89">
        <v>4950000</v>
      </c>
      <c r="F2529" s="89">
        <v>4950000</v>
      </c>
      <c r="G2529" s="125">
        <f t="shared" si="59"/>
        <v>0</v>
      </c>
      <c r="H2529" s="247"/>
      <c r="I2529" s="45"/>
    </row>
    <row r="2530" spans="1:9" ht="16.5">
      <c r="A2530" s="3">
        <f>IF(F2530="","",COUNTA($F$1249:F2530))</f>
        <v>1191</v>
      </c>
      <c r="B2530" s="46" t="s">
        <v>1357</v>
      </c>
      <c r="C2530" s="57" t="s">
        <v>1944</v>
      </c>
      <c r="D2530" s="57" t="s">
        <v>1293</v>
      </c>
      <c r="E2530" s="89">
        <v>5500000</v>
      </c>
      <c r="F2530" s="89">
        <v>5500000</v>
      </c>
      <c r="G2530" s="125">
        <f t="shared" si="59"/>
        <v>0</v>
      </c>
      <c r="H2530" s="247"/>
      <c r="I2530" s="45"/>
    </row>
    <row r="2531" spans="1:9" ht="16.5">
      <c r="A2531" s="3">
        <f>IF(F2531="","",COUNTA($F$1249:F2531))</f>
        <v>1192</v>
      </c>
      <c r="B2531" s="46" t="s">
        <v>1358</v>
      </c>
      <c r="C2531" s="57" t="s">
        <v>1944</v>
      </c>
      <c r="D2531" s="57" t="s">
        <v>1293</v>
      </c>
      <c r="E2531" s="89">
        <v>5940000</v>
      </c>
      <c r="F2531" s="89">
        <v>5940000</v>
      </c>
      <c r="G2531" s="125">
        <f t="shared" si="59"/>
        <v>0</v>
      </c>
      <c r="H2531" s="247"/>
      <c r="I2531" s="45"/>
    </row>
    <row r="2532" spans="1:9" ht="34.5">
      <c r="A2532" s="3">
        <f>IF(F2532="","",COUNTA($F$1249:F2532))</f>
      </c>
      <c r="B2532" s="61" t="s">
        <v>1361</v>
      </c>
      <c r="C2532" s="57"/>
      <c r="D2532" s="57"/>
      <c r="E2532" s="89"/>
      <c r="F2532" s="89"/>
      <c r="G2532" s="125" t="e">
        <f t="shared" si="59"/>
        <v>#DIV/0!</v>
      </c>
      <c r="H2532" s="247"/>
      <c r="I2532" s="45"/>
    </row>
    <row r="2533" spans="1:9" ht="33">
      <c r="A2533" s="3">
        <f>IF(F2533="","",COUNTA($F$1249:F2533))</f>
        <v>1193</v>
      </c>
      <c r="B2533" s="46" t="s">
        <v>1362</v>
      </c>
      <c r="C2533" s="57" t="s">
        <v>1944</v>
      </c>
      <c r="D2533" s="57" t="s">
        <v>1293</v>
      </c>
      <c r="E2533" s="89">
        <v>1238000</v>
      </c>
      <c r="F2533" s="89">
        <v>1238000</v>
      </c>
      <c r="G2533" s="125">
        <f t="shared" si="59"/>
        <v>0</v>
      </c>
      <c r="H2533" s="247"/>
      <c r="I2533" s="45"/>
    </row>
    <row r="2534" spans="1:9" ht="33">
      <c r="A2534" s="3">
        <f>IF(F2534="","",COUNTA($F$1249:F2534))</f>
        <v>1194</v>
      </c>
      <c r="B2534" s="46" t="s">
        <v>1363</v>
      </c>
      <c r="C2534" s="57" t="s">
        <v>1944</v>
      </c>
      <c r="D2534" s="57" t="s">
        <v>1293</v>
      </c>
      <c r="E2534" s="89">
        <v>1953000</v>
      </c>
      <c r="F2534" s="89">
        <v>1953000</v>
      </c>
      <c r="G2534" s="125">
        <f t="shared" si="59"/>
        <v>0</v>
      </c>
      <c r="H2534" s="247"/>
      <c r="I2534" s="45"/>
    </row>
    <row r="2535" spans="1:9" ht="33">
      <c r="A2535" s="3">
        <f>IF(F2535="","",COUNTA($F$1249:F2535))</f>
        <v>1195</v>
      </c>
      <c r="B2535" s="46" t="s">
        <v>1364</v>
      </c>
      <c r="C2535" s="57" t="s">
        <v>1944</v>
      </c>
      <c r="D2535" s="57" t="s">
        <v>1293</v>
      </c>
      <c r="E2535" s="89">
        <v>2145000</v>
      </c>
      <c r="F2535" s="89">
        <v>2145000</v>
      </c>
      <c r="G2535" s="125">
        <f t="shared" si="59"/>
        <v>0</v>
      </c>
      <c r="H2535" s="247"/>
      <c r="I2535" s="45"/>
    </row>
    <row r="2536" spans="1:9" ht="33">
      <c r="A2536" s="3">
        <f>IF(F2536="","",COUNTA($F$1249:F2536))</f>
        <v>1196</v>
      </c>
      <c r="B2536" s="46" t="s">
        <v>1365</v>
      </c>
      <c r="C2536" s="57" t="s">
        <v>1944</v>
      </c>
      <c r="D2536" s="57" t="s">
        <v>1293</v>
      </c>
      <c r="E2536" s="89">
        <v>2200000</v>
      </c>
      <c r="F2536" s="89">
        <v>2200000</v>
      </c>
      <c r="G2536" s="125">
        <f t="shared" si="59"/>
        <v>0</v>
      </c>
      <c r="H2536" s="247"/>
      <c r="I2536" s="45"/>
    </row>
    <row r="2537" spans="1:9" ht="33">
      <c r="A2537" s="3">
        <f>IF(F2537="","",COUNTA($F$1249:F2537))</f>
        <v>1197</v>
      </c>
      <c r="B2537" s="46" t="s">
        <v>1366</v>
      </c>
      <c r="C2537" s="57" t="s">
        <v>1944</v>
      </c>
      <c r="D2537" s="57" t="s">
        <v>1293</v>
      </c>
      <c r="E2537" s="89">
        <v>2475000</v>
      </c>
      <c r="F2537" s="89">
        <v>2475000</v>
      </c>
      <c r="G2537" s="125">
        <f t="shared" si="59"/>
        <v>0</v>
      </c>
      <c r="H2537" s="247"/>
      <c r="I2537" s="45"/>
    </row>
    <row r="2538" spans="1:9" ht="33">
      <c r="A2538" s="3">
        <f>IF(F2538="","",COUNTA($F$1249:F2538))</f>
        <v>1198</v>
      </c>
      <c r="B2538" s="46" t="s">
        <v>1367</v>
      </c>
      <c r="C2538" s="57" t="s">
        <v>1944</v>
      </c>
      <c r="D2538" s="57" t="s">
        <v>1293</v>
      </c>
      <c r="E2538" s="89">
        <v>2503000</v>
      </c>
      <c r="F2538" s="89">
        <v>2503000</v>
      </c>
      <c r="G2538" s="125">
        <f t="shared" si="59"/>
        <v>0</v>
      </c>
      <c r="H2538" s="247"/>
      <c r="I2538" s="45"/>
    </row>
    <row r="2539" spans="1:9" ht="33">
      <c r="A2539" s="3">
        <f>IF(F2539="","",COUNTA($F$1249:F2539))</f>
        <v>1199</v>
      </c>
      <c r="B2539" s="46" t="s">
        <v>1368</v>
      </c>
      <c r="C2539" s="57" t="s">
        <v>1944</v>
      </c>
      <c r="D2539" s="57" t="s">
        <v>1293</v>
      </c>
      <c r="E2539" s="89">
        <v>2970000</v>
      </c>
      <c r="F2539" s="89">
        <v>2970000</v>
      </c>
      <c r="G2539" s="125">
        <f t="shared" si="59"/>
        <v>0</v>
      </c>
      <c r="H2539" s="247"/>
      <c r="I2539" s="45"/>
    </row>
    <row r="2540" spans="1:9" ht="33">
      <c r="A2540" s="3">
        <f>IF(F2540="","",COUNTA($F$1249:F2540))</f>
        <v>1200</v>
      </c>
      <c r="B2540" s="46" t="s">
        <v>1369</v>
      </c>
      <c r="C2540" s="57" t="s">
        <v>1944</v>
      </c>
      <c r="D2540" s="57" t="s">
        <v>1293</v>
      </c>
      <c r="E2540" s="89">
        <v>3740000</v>
      </c>
      <c r="F2540" s="89">
        <v>3740000</v>
      </c>
      <c r="G2540" s="125">
        <f t="shared" si="59"/>
        <v>0</v>
      </c>
      <c r="H2540" s="247"/>
      <c r="I2540" s="45"/>
    </row>
    <row r="2541" spans="1:9" ht="34.5">
      <c r="A2541" s="3">
        <f>IF(F2541="","",COUNTA($F$1249:F2541))</f>
      </c>
      <c r="B2541" s="61" t="s">
        <v>1370</v>
      </c>
      <c r="C2541" s="57"/>
      <c r="D2541" s="57"/>
      <c r="E2541" s="89"/>
      <c r="F2541" s="89"/>
      <c r="G2541" s="125" t="e">
        <f t="shared" si="59"/>
        <v>#DIV/0!</v>
      </c>
      <c r="H2541" s="247"/>
      <c r="I2541" s="45"/>
    </row>
    <row r="2542" spans="1:9" ht="16.5">
      <c r="A2542" s="3">
        <f>IF(F2542="","",COUNTA($F$1249:F2542))</f>
        <v>1201</v>
      </c>
      <c r="B2542" s="46" t="s">
        <v>1371</v>
      </c>
      <c r="C2542" s="57" t="s">
        <v>1944</v>
      </c>
      <c r="D2542" s="57" t="s">
        <v>1293</v>
      </c>
      <c r="E2542" s="89">
        <v>642000</v>
      </c>
      <c r="F2542" s="89">
        <v>642000</v>
      </c>
      <c r="G2542" s="125">
        <f t="shared" si="59"/>
        <v>0</v>
      </c>
      <c r="H2542" s="247"/>
      <c r="I2542" s="45"/>
    </row>
    <row r="2543" spans="1:9" ht="16.5">
      <c r="A2543" s="3">
        <f>IF(F2543="","",COUNTA($F$1249:F2543))</f>
        <v>1202</v>
      </c>
      <c r="B2543" s="46" t="s">
        <v>1372</v>
      </c>
      <c r="C2543" s="57" t="s">
        <v>1944</v>
      </c>
      <c r="D2543" s="57" t="s">
        <v>1293</v>
      </c>
      <c r="E2543" s="89">
        <v>1338000</v>
      </c>
      <c r="F2543" s="89">
        <v>1338000</v>
      </c>
      <c r="G2543" s="125">
        <f t="shared" si="59"/>
        <v>0</v>
      </c>
      <c r="H2543" s="247"/>
      <c r="I2543" s="45"/>
    </row>
    <row r="2544" spans="1:9" ht="16.5">
      <c r="A2544" s="3">
        <f>IF(F2544="","",COUNTA($F$1249:F2544))</f>
        <v>1203</v>
      </c>
      <c r="B2544" s="46" t="s">
        <v>1373</v>
      </c>
      <c r="C2544" s="57" t="s">
        <v>1944</v>
      </c>
      <c r="D2544" s="57" t="s">
        <v>1293</v>
      </c>
      <c r="E2544" s="89">
        <v>1434000</v>
      </c>
      <c r="F2544" s="89">
        <v>1434000</v>
      </c>
      <c r="G2544" s="125">
        <f t="shared" si="59"/>
        <v>0</v>
      </c>
      <c r="H2544" s="247"/>
      <c r="I2544" s="45"/>
    </row>
    <row r="2545" spans="1:9" ht="16.5">
      <c r="A2545" s="3">
        <f>IF(F2545="","",COUNTA($F$1249:F2545))</f>
        <v>1204</v>
      </c>
      <c r="B2545" s="46" t="s">
        <v>1374</v>
      </c>
      <c r="C2545" s="57" t="s">
        <v>1944</v>
      </c>
      <c r="D2545" s="57" t="s">
        <v>1293</v>
      </c>
      <c r="E2545" s="89">
        <v>1445000</v>
      </c>
      <c r="F2545" s="89">
        <v>1445000</v>
      </c>
      <c r="G2545" s="125">
        <f t="shared" si="59"/>
        <v>0</v>
      </c>
      <c r="H2545" s="247"/>
      <c r="I2545" s="45"/>
    </row>
    <row r="2546" spans="1:9" ht="33">
      <c r="A2546" s="3">
        <f>IF(F2546="","",COUNTA($F$1249:F2546))</f>
        <v>1205</v>
      </c>
      <c r="B2546" s="46" t="s">
        <v>1375</v>
      </c>
      <c r="C2546" s="57" t="s">
        <v>1944</v>
      </c>
      <c r="D2546" s="57" t="s">
        <v>1293</v>
      </c>
      <c r="E2546" s="89">
        <v>1552000</v>
      </c>
      <c r="F2546" s="89">
        <v>1552000</v>
      </c>
      <c r="G2546" s="125">
        <f t="shared" si="59"/>
        <v>0</v>
      </c>
      <c r="H2546" s="247"/>
      <c r="I2546" s="45"/>
    </row>
    <row r="2547" spans="1:9" ht="16.5">
      <c r="A2547" s="3">
        <f>IF(F2547="","",COUNTA($F$1249:F2547))</f>
        <v>1206</v>
      </c>
      <c r="B2547" s="46" t="s">
        <v>1376</v>
      </c>
      <c r="C2547" s="57" t="s">
        <v>1944</v>
      </c>
      <c r="D2547" s="57" t="s">
        <v>1293</v>
      </c>
      <c r="E2547" s="89">
        <v>1605000</v>
      </c>
      <c r="F2547" s="89">
        <v>1605000</v>
      </c>
      <c r="G2547" s="125">
        <f t="shared" si="59"/>
        <v>0</v>
      </c>
      <c r="H2547" s="247"/>
      <c r="I2547" s="45"/>
    </row>
    <row r="2548" spans="1:9" ht="16.5">
      <c r="A2548" s="3">
        <f>IF(F2548="","",COUNTA($F$1249:F2548))</f>
        <v>1207</v>
      </c>
      <c r="B2548" s="46" t="s">
        <v>1377</v>
      </c>
      <c r="C2548" s="57" t="s">
        <v>1944</v>
      </c>
      <c r="D2548" s="57" t="s">
        <v>1293</v>
      </c>
      <c r="E2548" s="89">
        <v>1712000</v>
      </c>
      <c r="F2548" s="89">
        <v>1712000</v>
      </c>
      <c r="G2548" s="125">
        <f t="shared" si="59"/>
        <v>0</v>
      </c>
      <c r="H2548" s="247"/>
      <c r="I2548" s="45"/>
    </row>
    <row r="2549" spans="1:9" ht="16.5">
      <c r="A2549" s="3">
        <f>IF(F2549="","",COUNTA($F$1249:F2549))</f>
        <v>1208</v>
      </c>
      <c r="B2549" s="46" t="s">
        <v>1378</v>
      </c>
      <c r="C2549" s="57" t="s">
        <v>1944</v>
      </c>
      <c r="D2549" s="57" t="s">
        <v>1293</v>
      </c>
      <c r="E2549" s="89">
        <v>2065000</v>
      </c>
      <c r="F2549" s="89">
        <v>2065000</v>
      </c>
      <c r="G2549" s="125">
        <f t="shared" si="59"/>
        <v>0</v>
      </c>
      <c r="H2549" s="247"/>
      <c r="I2549" s="45"/>
    </row>
    <row r="2550" spans="1:9" ht="34.5">
      <c r="A2550" s="3">
        <f>IF(F2550="","",COUNTA($F$1249:F2550))</f>
      </c>
      <c r="B2550" s="61" t="s">
        <v>1379</v>
      </c>
      <c r="C2550" s="57"/>
      <c r="D2550" s="57"/>
      <c r="E2550" s="89"/>
      <c r="F2550" s="89"/>
      <c r="G2550" s="125" t="e">
        <f t="shared" si="59"/>
        <v>#DIV/0!</v>
      </c>
      <c r="H2550" s="247"/>
      <c r="I2550" s="45"/>
    </row>
    <row r="2551" spans="1:9" ht="16.5">
      <c r="A2551" s="3">
        <f>IF(F2551="","",COUNTA($F$1249:F2551))</f>
        <v>1209</v>
      </c>
      <c r="B2551" s="46" t="s">
        <v>1371</v>
      </c>
      <c r="C2551" s="57" t="s">
        <v>1944</v>
      </c>
      <c r="D2551" s="57" t="s">
        <v>1293</v>
      </c>
      <c r="E2551" s="89">
        <v>856000</v>
      </c>
      <c r="F2551" s="89">
        <v>856000</v>
      </c>
      <c r="G2551" s="125">
        <f t="shared" si="59"/>
        <v>0</v>
      </c>
      <c r="H2551" s="247"/>
      <c r="I2551" s="45"/>
    </row>
    <row r="2552" spans="1:9" ht="16.5">
      <c r="A2552" s="3">
        <f>IF(F2552="","",COUNTA($F$1249:F2552))</f>
        <v>1210</v>
      </c>
      <c r="B2552" s="46" t="s">
        <v>1372</v>
      </c>
      <c r="C2552" s="57" t="s">
        <v>1944</v>
      </c>
      <c r="D2552" s="57" t="s">
        <v>1293</v>
      </c>
      <c r="E2552" s="89">
        <v>1445000</v>
      </c>
      <c r="F2552" s="89">
        <v>1445000</v>
      </c>
      <c r="G2552" s="125">
        <f aca="true" t="shared" si="60" ref="G2552:G2615">(E2552-F2552)/E2552</f>
        <v>0</v>
      </c>
      <c r="H2552" s="247"/>
      <c r="I2552" s="45"/>
    </row>
    <row r="2553" spans="1:9" ht="16.5">
      <c r="A2553" s="3">
        <f>IF(F2553="","",COUNTA($F$1249:F2553))</f>
        <v>1211</v>
      </c>
      <c r="B2553" s="46" t="s">
        <v>1373</v>
      </c>
      <c r="C2553" s="57" t="s">
        <v>1944</v>
      </c>
      <c r="D2553" s="57" t="s">
        <v>1293</v>
      </c>
      <c r="E2553" s="89">
        <v>1605000</v>
      </c>
      <c r="F2553" s="89">
        <v>1605000</v>
      </c>
      <c r="G2553" s="125">
        <f t="shared" si="60"/>
        <v>0</v>
      </c>
      <c r="H2553" s="247"/>
      <c r="I2553" s="45"/>
    </row>
    <row r="2554" spans="1:9" ht="16.5">
      <c r="A2554" s="3">
        <f>IF(F2554="","",COUNTA($F$1249:F2554))</f>
        <v>1212</v>
      </c>
      <c r="B2554" s="46" t="s">
        <v>1374</v>
      </c>
      <c r="C2554" s="57" t="s">
        <v>1944</v>
      </c>
      <c r="D2554" s="57" t="s">
        <v>1293</v>
      </c>
      <c r="E2554" s="89">
        <v>1605000</v>
      </c>
      <c r="F2554" s="89">
        <v>1605000</v>
      </c>
      <c r="G2554" s="125">
        <f t="shared" si="60"/>
        <v>0</v>
      </c>
      <c r="H2554" s="247"/>
      <c r="I2554" s="45"/>
    </row>
    <row r="2555" spans="1:9" ht="33">
      <c r="A2555" s="3">
        <f>IF(F2555="","",COUNTA($F$1249:F2555))</f>
        <v>1213</v>
      </c>
      <c r="B2555" s="46" t="s">
        <v>1375</v>
      </c>
      <c r="C2555" s="57" t="s">
        <v>1944</v>
      </c>
      <c r="D2555" s="57" t="s">
        <v>1293</v>
      </c>
      <c r="E2555" s="89">
        <v>1766000</v>
      </c>
      <c r="F2555" s="89">
        <v>1766000</v>
      </c>
      <c r="G2555" s="125">
        <f t="shared" si="60"/>
        <v>0</v>
      </c>
      <c r="H2555" s="247"/>
      <c r="I2555" s="45"/>
    </row>
    <row r="2556" spans="1:9" ht="16.5">
      <c r="A2556" s="3">
        <f>IF(F2556="","",COUNTA($F$1249:F2556))</f>
        <v>1214</v>
      </c>
      <c r="B2556" s="46" t="s">
        <v>1376</v>
      </c>
      <c r="C2556" s="57" t="s">
        <v>1944</v>
      </c>
      <c r="D2556" s="57" t="s">
        <v>1293</v>
      </c>
      <c r="E2556" s="89">
        <v>1926000</v>
      </c>
      <c r="F2556" s="89">
        <v>1926000</v>
      </c>
      <c r="G2556" s="125">
        <f t="shared" si="60"/>
        <v>0</v>
      </c>
      <c r="H2556" s="247"/>
      <c r="I2556" s="45"/>
    </row>
    <row r="2557" spans="1:9" ht="16.5">
      <c r="A2557" s="3">
        <f>IF(F2557="","",COUNTA($F$1249:F2557))</f>
        <v>1215</v>
      </c>
      <c r="B2557" s="46" t="s">
        <v>1377</v>
      </c>
      <c r="C2557" s="57" t="s">
        <v>1944</v>
      </c>
      <c r="D2557" s="57" t="s">
        <v>1293</v>
      </c>
      <c r="E2557" s="89">
        <v>2087000</v>
      </c>
      <c r="F2557" s="89">
        <v>2087000</v>
      </c>
      <c r="G2557" s="125">
        <f t="shared" si="60"/>
        <v>0</v>
      </c>
      <c r="H2557" s="247"/>
      <c r="I2557" s="45"/>
    </row>
    <row r="2558" spans="1:9" ht="16.5">
      <c r="A2558" s="3">
        <f>IF(F2558="","",COUNTA($F$1249:F2558))</f>
        <v>1216</v>
      </c>
      <c r="B2558" s="46" t="s">
        <v>1378</v>
      </c>
      <c r="C2558" s="57" t="s">
        <v>1944</v>
      </c>
      <c r="D2558" s="57" t="s">
        <v>1293</v>
      </c>
      <c r="E2558" s="89">
        <v>2461000</v>
      </c>
      <c r="F2558" s="89">
        <v>2461000</v>
      </c>
      <c r="G2558" s="125">
        <f t="shared" si="60"/>
        <v>0</v>
      </c>
      <c r="H2558" s="247"/>
      <c r="I2558" s="45"/>
    </row>
    <row r="2559" spans="1:9" ht="17.25">
      <c r="A2559" s="3">
        <f>IF(F2559="","",COUNTA($F$1249:F2559))</f>
      </c>
      <c r="B2559" s="61" t="s">
        <v>1380</v>
      </c>
      <c r="C2559" s="57"/>
      <c r="D2559" s="57"/>
      <c r="E2559" s="89"/>
      <c r="F2559" s="89"/>
      <c r="G2559" s="125" t="e">
        <f t="shared" si="60"/>
        <v>#DIV/0!</v>
      </c>
      <c r="H2559" s="247"/>
      <c r="I2559" s="45"/>
    </row>
    <row r="2560" spans="1:9" ht="16.5">
      <c r="A2560" s="3">
        <f>IF(F2560="","",COUNTA($F$1249:F2560))</f>
        <v>1217</v>
      </c>
      <c r="B2560" s="46" t="s">
        <v>1360</v>
      </c>
      <c r="C2560" s="57" t="s">
        <v>1944</v>
      </c>
      <c r="D2560" s="57" t="s">
        <v>1293</v>
      </c>
      <c r="E2560" s="89">
        <v>1305000</v>
      </c>
      <c r="F2560" s="89">
        <v>1305000</v>
      </c>
      <c r="G2560" s="125">
        <f t="shared" si="60"/>
        <v>0</v>
      </c>
      <c r="H2560" s="247"/>
      <c r="I2560" s="45"/>
    </row>
    <row r="2561" spans="1:9" ht="16.5">
      <c r="A2561" s="3">
        <f>IF(F2561="","",COUNTA($F$1249:F2561))</f>
        <v>1218</v>
      </c>
      <c r="B2561" s="46" t="s">
        <v>1347</v>
      </c>
      <c r="C2561" s="57" t="s">
        <v>1944</v>
      </c>
      <c r="D2561" s="57" t="s">
        <v>1293</v>
      </c>
      <c r="E2561" s="89">
        <v>1498000</v>
      </c>
      <c r="F2561" s="89">
        <v>1498000</v>
      </c>
      <c r="G2561" s="125">
        <f t="shared" si="60"/>
        <v>0</v>
      </c>
      <c r="H2561" s="247"/>
      <c r="I2561" s="45"/>
    </row>
    <row r="2562" spans="1:9" ht="16.5">
      <c r="A2562" s="3">
        <f>IF(F2562="","",COUNTA($F$1249:F2562))</f>
        <v>1219</v>
      </c>
      <c r="B2562" s="46" t="s">
        <v>1348</v>
      </c>
      <c r="C2562" s="57" t="s">
        <v>1944</v>
      </c>
      <c r="D2562" s="57" t="s">
        <v>1293</v>
      </c>
      <c r="E2562" s="89">
        <v>1605000</v>
      </c>
      <c r="F2562" s="89">
        <v>1605000</v>
      </c>
      <c r="G2562" s="125">
        <f t="shared" si="60"/>
        <v>0</v>
      </c>
      <c r="H2562" s="247"/>
      <c r="I2562" s="45"/>
    </row>
    <row r="2563" spans="1:9" ht="16.5">
      <c r="A2563" s="3">
        <f>IF(F2563="","",COUNTA($F$1249:F2563))</f>
        <v>1220</v>
      </c>
      <c r="B2563" s="46" t="s">
        <v>1349</v>
      </c>
      <c r="C2563" s="57" t="s">
        <v>1944</v>
      </c>
      <c r="D2563" s="57" t="s">
        <v>1293</v>
      </c>
      <c r="E2563" s="89">
        <v>2087000</v>
      </c>
      <c r="F2563" s="89">
        <v>2087000</v>
      </c>
      <c r="G2563" s="125">
        <f t="shared" si="60"/>
        <v>0</v>
      </c>
      <c r="H2563" s="247"/>
      <c r="I2563" s="45"/>
    </row>
    <row r="2564" spans="1:9" ht="16.5">
      <c r="A2564" s="3">
        <f>IF(F2564="","",COUNTA($F$1249:F2564))</f>
        <v>1221</v>
      </c>
      <c r="B2564" s="46" t="s">
        <v>1350</v>
      </c>
      <c r="C2564" s="57" t="s">
        <v>1944</v>
      </c>
      <c r="D2564" s="57" t="s">
        <v>1293</v>
      </c>
      <c r="E2564" s="89">
        <v>2247000</v>
      </c>
      <c r="F2564" s="89">
        <v>2247000</v>
      </c>
      <c r="G2564" s="125">
        <f t="shared" si="60"/>
        <v>0</v>
      </c>
      <c r="H2564" s="247"/>
      <c r="I2564" s="45"/>
    </row>
    <row r="2565" spans="1:9" ht="16.5">
      <c r="A2565" s="3">
        <f>IF(F2565="","",COUNTA($F$1249:F2565))</f>
        <v>1222</v>
      </c>
      <c r="B2565" s="46" t="s">
        <v>1351</v>
      </c>
      <c r="C2565" s="57" t="s">
        <v>1944</v>
      </c>
      <c r="D2565" s="57" t="s">
        <v>1293</v>
      </c>
      <c r="E2565" s="89">
        <v>2975000</v>
      </c>
      <c r="F2565" s="89">
        <v>2975000</v>
      </c>
      <c r="G2565" s="125">
        <f t="shared" si="60"/>
        <v>0</v>
      </c>
      <c r="H2565" s="247"/>
      <c r="I2565" s="45"/>
    </row>
    <row r="2566" spans="1:9" ht="16.5">
      <c r="A2566" s="3">
        <f>IF(F2566="","",COUNTA($F$1249:F2566))</f>
        <v>1223</v>
      </c>
      <c r="B2566" s="46" t="s">
        <v>1352</v>
      </c>
      <c r="C2566" s="57" t="s">
        <v>1944</v>
      </c>
      <c r="D2566" s="57" t="s">
        <v>1293</v>
      </c>
      <c r="E2566" s="89">
        <v>2675000</v>
      </c>
      <c r="F2566" s="89">
        <v>2675000</v>
      </c>
      <c r="G2566" s="125">
        <f t="shared" si="60"/>
        <v>0</v>
      </c>
      <c r="H2566" s="247"/>
      <c r="I2566" s="45"/>
    </row>
    <row r="2567" spans="1:9" ht="16.5">
      <c r="A2567" s="3">
        <f>IF(F2567="","",COUNTA($F$1249:F2567))</f>
        <v>1224</v>
      </c>
      <c r="B2567" s="46" t="s">
        <v>1353</v>
      </c>
      <c r="C2567" s="57" t="s">
        <v>1944</v>
      </c>
      <c r="D2567" s="57" t="s">
        <v>1293</v>
      </c>
      <c r="E2567" s="89">
        <v>2889000</v>
      </c>
      <c r="F2567" s="89">
        <v>2889000</v>
      </c>
      <c r="G2567" s="125">
        <f t="shared" si="60"/>
        <v>0</v>
      </c>
      <c r="H2567" s="247"/>
      <c r="I2567" s="45"/>
    </row>
    <row r="2568" spans="1:9" ht="16.5">
      <c r="A2568" s="3">
        <f>IF(F2568="","",COUNTA($F$1249:F2568))</f>
        <v>1225</v>
      </c>
      <c r="B2568" s="46" t="s">
        <v>1354</v>
      </c>
      <c r="C2568" s="57" t="s">
        <v>1944</v>
      </c>
      <c r="D2568" s="57" t="s">
        <v>1293</v>
      </c>
      <c r="E2568" s="89">
        <v>3424000</v>
      </c>
      <c r="F2568" s="89">
        <v>3424000</v>
      </c>
      <c r="G2568" s="125">
        <f t="shared" si="60"/>
        <v>0</v>
      </c>
      <c r="H2568" s="247"/>
      <c r="I2568" s="45"/>
    </row>
    <row r="2569" spans="1:9" ht="16.5">
      <c r="A2569" s="3">
        <f>IF(F2569="","",COUNTA($F$1249:F2569))</f>
        <v>1226</v>
      </c>
      <c r="B2569" s="46" t="s">
        <v>1355</v>
      </c>
      <c r="C2569" s="57" t="s">
        <v>1944</v>
      </c>
      <c r="D2569" s="57" t="s">
        <v>1293</v>
      </c>
      <c r="E2569" s="89">
        <v>2889000</v>
      </c>
      <c r="F2569" s="89">
        <v>2889000</v>
      </c>
      <c r="G2569" s="125">
        <f t="shared" si="60"/>
        <v>0</v>
      </c>
      <c r="H2569" s="247"/>
      <c r="I2569" s="45"/>
    </row>
    <row r="2570" spans="1:9" ht="16.5">
      <c r="A2570" s="3">
        <f>IF(F2570="","",COUNTA($F$1249:F2570))</f>
        <v>1227</v>
      </c>
      <c r="B2570" s="46" t="s">
        <v>1356</v>
      </c>
      <c r="C2570" s="57" t="s">
        <v>1944</v>
      </c>
      <c r="D2570" s="57" t="s">
        <v>1293</v>
      </c>
      <c r="E2570" s="89">
        <v>3103000</v>
      </c>
      <c r="F2570" s="89">
        <v>3103000</v>
      </c>
      <c r="G2570" s="125">
        <f t="shared" si="60"/>
        <v>0</v>
      </c>
      <c r="H2570" s="247"/>
      <c r="I2570" s="45"/>
    </row>
    <row r="2571" spans="1:9" ht="16.5">
      <c r="A2571" s="3">
        <f>IF(F2571="","",COUNTA($F$1249:F2571))</f>
        <v>1228</v>
      </c>
      <c r="B2571" s="46" t="s">
        <v>1357</v>
      </c>
      <c r="C2571" s="57" t="s">
        <v>1944</v>
      </c>
      <c r="D2571" s="57" t="s">
        <v>1293</v>
      </c>
      <c r="E2571" s="89">
        <v>3638000</v>
      </c>
      <c r="F2571" s="89">
        <v>3638000</v>
      </c>
      <c r="G2571" s="125">
        <f t="shared" si="60"/>
        <v>0</v>
      </c>
      <c r="H2571" s="247"/>
      <c r="I2571" s="45"/>
    </row>
    <row r="2572" spans="1:9" ht="16.5">
      <c r="A2572" s="3">
        <f>IF(F2572="","",COUNTA($F$1249:F2572))</f>
        <v>1229</v>
      </c>
      <c r="B2572" s="46" t="s">
        <v>1358</v>
      </c>
      <c r="C2572" s="57" t="s">
        <v>1944</v>
      </c>
      <c r="D2572" s="57" t="s">
        <v>1293</v>
      </c>
      <c r="E2572" s="89">
        <v>3745000</v>
      </c>
      <c r="F2572" s="89">
        <v>3745000</v>
      </c>
      <c r="G2572" s="125">
        <f t="shared" si="60"/>
        <v>0</v>
      </c>
      <c r="H2572" s="247"/>
      <c r="I2572" s="45"/>
    </row>
    <row r="2573" spans="1:9" ht="17.25">
      <c r="A2573" s="3">
        <f>IF(F2573="","",COUNTA($F$1249:F2573))</f>
      </c>
      <c r="B2573" s="61" t="s">
        <v>1381</v>
      </c>
      <c r="C2573" s="57"/>
      <c r="D2573" s="57"/>
      <c r="E2573" s="89"/>
      <c r="F2573" s="89"/>
      <c r="G2573" s="125" t="e">
        <f t="shared" si="60"/>
        <v>#DIV/0!</v>
      </c>
      <c r="H2573" s="247"/>
      <c r="I2573" s="45"/>
    </row>
    <row r="2574" spans="1:9" ht="16.5">
      <c r="A2574" s="3">
        <f>IF(F2574="","",COUNTA($F$1249:F2574))</f>
        <v>1230</v>
      </c>
      <c r="B2574" s="46" t="s">
        <v>1360</v>
      </c>
      <c r="C2574" s="57" t="s">
        <v>1944</v>
      </c>
      <c r="D2574" s="57" t="s">
        <v>1293</v>
      </c>
      <c r="E2574" s="89">
        <v>1412000</v>
      </c>
      <c r="F2574" s="89">
        <v>1412000</v>
      </c>
      <c r="G2574" s="125">
        <f t="shared" si="60"/>
        <v>0</v>
      </c>
      <c r="H2574" s="247"/>
      <c r="I2574" s="45"/>
    </row>
    <row r="2575" spans="1:9" ht="16.5">
      <c r="A2575" s="3">
        <f>IF(F2575="","",COUNTA($F$1249:F2575))</f>
        <v>1231</v>
      </c>
      <c r="B2575" s="46" t="s">
        <v>1347</v>
      </c>
      <c r="C2575" s="57" t="s">
        <v>1944</v>
      </c>
      <c r="D2575" s="57" t="s">
        <v>1293</v>
      </c>
      <c r="E2575" s="89">
        <v>1605000</v>
      </c>
      <c r="F2575" s="89">
        <v>1605000</v>
      </c>
      <c r="G2575" s="125">
        <f t="shared" si="60"/>
        <v>0</v>
      </c>
      <c r="H2575" s="247"/>
      <c r="I2575" s="45"/>
    </row>
    <row r="2576" spans="1:9" ht="16.5">
      <c r="A2576" s="3">
        <f>IF(F2576="","",COUNTA($F$1249:F2576))</f>
        <v>1232</v>
      </c>
      <c r="B2576" s="46" t="s">
        <v>1348</v>
      </c>
      <c r="C2576" s="57" t="s">
        <v>1944</v>
      </c>
      <c r="D2576" s="57" t="s">
        <v>1293</v>
      </c>
      <c r="E2576" s="89">
        <v>1819000</v>
      </c>
      <c r="F2576" s="89">
        <v>1819000</v>
      </c>
      <c r="G2576" s="125">
        <f t="shared" si="60"/>
        <v>0</v>
      </c>
      <c r="H2576" s="247"/>
      <c r="I2576" s="45"/>
    </row>
    <row r="2577" spans="1:9" ht="16.5">
      <c r="A2577" s="3">
        <f>IF(F2577="","",COUNTA($F$1249:F2577))</f>
        <v>1233</v>
      </c>
      <c r="B2577" s="46" t="s">
        <v>1349</v>
      </c>
      <c r="C2577" s="57" t="s">
        <v>1944</v>
      </c>
      <c r="D2577" s="57" t="s">
        <v>1293</v>
      </c>
      <c r="E2577" s="89">
        <v>2536000</v>
      </c>
      <c r="F2577" s="89">
        <v>2536000</v>
      </c>
      <c r="G2577" s="125">
        <f t="shared" si="60"/>
        <v>0</v>
      </c>
      <c r="H2577" s="247"/>
      <c r="I2577" s="45"/>
    </row>
    <row r="2578" spans="1:9" ht="16.5">
      <c r="A2578" s="3">
        <f>IF(F2578="","",COUNTA($F$1249:F2578))</f>
        <v>1234</v>
      </c>
      <c r="B2578" s="46" t="s">
        <v>1350</v>
      </c>
      <c r="C2578" s="57" t="s">
        <v>1944</v>
      </c>
      <c r="D2578" s="57" t="s">
        <v>1293</v>
      </c>
      <c r="E2578" s="89">
        <v>2782000</v>
      </c>
      <c r="F2578" s="89">
        <v>2782000</v>
      </c>
      <c r="G2578" s="125">
        <f t="shared" si="60"/>
        <v>0</v>
      </c>
      <c r="H2578" s="247"/>
      <c r="I2578" s="45"/>
    </row>
    <row r="2579" spans="1:9" ht="16.5">
      <c r="A2579" s="3">
        <f>IF(F2579="","",COUNTA($F$1249:F2579))</f>
        <v>1235</v>
      </c>
      <c r="B2579" s="46" t="s">
        <v>1351</v>
      </c>
      <c r="C2579" s="57" t="s">
        <v>1944</v>
      </c>
      <c r="D2579" s="57" t="s">
        <v>1293</v>
      </c>
      <c r="E2579" s="89">
        <v>2975000</v>
      </c>
      <c r="F2579" s="89">
        <v>2975000</v>
      </c>
      <c r="G2579" s="125">
        <f t="shared" si="60"/>
        <v>0</v>
      </c>
      <c r="H2579" s="247"/>
      <c r="I2579" s="45"/>
    </row>
    <row r="2580" spans="1:9" ht="16.5">
      <c r="A2580" s="3">
        <f>IF(F2580="","",COUNTA($F$1249:F2580))</f>
        <v>1236</v>
      </c>
      <c r="B2580" s="46" t="s">
        <v>1352</v>
      </c>
      <c r="C2580" s="57" t="s">
        <v>1944</v>
      </c>
      <c r="D2580" s="57" t="s">
        <v>1293</v>
      </c>
      <c r="E2580" s="89">
        <v>2782000</v>
      </c>
      <c r="F2580" s="89">
        <v>2782000</v>
      </c>
      <c r="G2580" s="125">
        <f t="shared" si="60"/>
        <v>0</v>
      </c>
      <c r="H2580" s="247"/>
      <c r="I2580" s="45"/>
    </row>
    <row r="2581" spans="1:9" ht="16.5">
      <c r="A2581" s="3">
        <f>IF(F2581="","",COUNTA($F$1249:F2581))</f>
        <v>1237</v>
      </c>
      <c r="B2581" s="46" t="s">
        <v>1353</v>
      </c>
      <c r="C2581" s="57" t="s">
        <v>1944</v>
      </c>
      <c r="D2581" s="57" t="s">
        <v>1293</v>
      </c>
      <c r="E2581" s="89">
        <v>3103000</v>
      </c>
      <c r="F2581" s="89">
        <v>3103000</v>
      </c>
      <c r="G2581" s="125">
        <f t="shared" si="60"/>
        <v>0</v>
      </c>
      <c r="H2581" s="247"/>
      <c r="I2581" s="45"/>
    </row>
    <row r="2582" spans="1:9" ht="16.5">
      <c r="A2582" s="3">
        <f>IF(F2582="","",COUNTA($F$1249:F2582))</f>
        <v>1238</v>
      </c>
      <c r="B2582" s="46" t="s">
        <v>1354</v>
      </c>
      <c r="C2582" s="57" t="s">
        <v>1944</v>
      </c>
      <c r="D2582" s="57" t="s">
        <v>1293</v>
      </c>
      <c r="E2582" s="89">
        <v>3638000</v>
      </c>
      <c r="F2582" s="89">
        <v>3638000</v>
      </c>
      <c r="G2582" s="125">
        <f t="shared" si="60"/>
        <v>0</v>
      </c>
      <c r="H2582" s="247"/>
      <c r="I2582" s="45"/>
    </row>
    <row r="2583" spans="1:9" ht="16.5">
      <c r="A2583" s="3">
        <f>IF(F2583="","",COUNTA($F$1249:F2583))</f>
        <v>1239</v>
      </c>
      <c r="B2583" s="46" t="s">
        <v>1355</v>
      </c>
      <c r="C2583" s="57" t="s">
        <v>1944</v>
      </c>
      <c r="D2583" s="57" t="s">
        <v>1293</v>
      </c>
      <c r="E2583" s="89">
        <v>3317000</v>
      </c>
      <c r="F2583" s="89">
        <v>3317000</v>
      </c>
      <c r="G2583" s="125">
        <f t="shared" si="60"/>
        <v>0</v>
      </c>
      <c r="H2583" s="247"/>
      <c r="I2583" s="45"/>
    </row>
    <row r="2584" spans="1:9" ht="16.5">
      <c r="A2584" s="3">
        <f>IF(F2584="","",COUNTA($F$1249:F2584))</f>
        <v>1240</v>
      </c>
      <c r="B2584" s="46" t="s">
        <v>1356</v>
      </c>
      <c r="C2584" s="57" t="s">
        <v>1944</v>
      </c>
      <c r="D2584" s="57" t="s">
        <v>1293</v>
      </c>
      <c r="E2584" s="89">
        <v>3745000</v>
      </c>
      <c r="F2584" s="89">
        <v>3745000</v>
      </c>
      <c r="G2584" s="125">
        <f t="shared" si="60"/>
        <v>0</v>
      </c>
      <c r="H2584" s="247"/>
      <c r="I2584" s="45"/>
    </row>
    <row r="2585" spans="1:9" ht="16.5">
      <c r="A2585" s="3">
        <f>IF(F2585="","",COUNTA($F$1249:F2585))</f>
        <v>1241</v>
      </c>
      <c r="B2585" s="46" t="s">
        <v>1357</v>
      </c>
      <c r="C2585" s="57" t="s">
        <v>1944</v>
      </c>
      <c r="D2585" s="57" t="s">
        <v>1293</v>
      </c>
      <c r="E2585" s="89">
        <v>3959000</v>
      </c>
      <c r="F2585" s="89">
        <v>3959000</v>
      </c>
      <c r="G2585" s="125">
        <f t="shared" si="60"/>
        <v>0</v>
      </c>
      <c r="H2585" s="247"/>
      <c r="I2585" s="45"/>
    </row>
    <row r="2586" spans="1:9" ht="16.5">
      <c r="A2586" s="3">
        <f>IF(F2586="","",COUNTA($F$1249:F2586))</f>
        <v>1242</v>
      </c>
      <c r="B2586" s="46" t="s">
        <v>1358</v>
      </c>
      <c r="C2586" s="57" t="s">
        <v>1944</v>
      </c>
      <c r="D2586" s="57" t="s">
        <v>1293</v>
      </c>
      <c r="E2586" s="89">
        <v>4227000</v>
      </c>
      <c r="F2586" s="89">
        <v>4227000</v>
      </c>
      <c r="G2586" s="125">
        <f t="shared" si="60"/>
        <v>0</v>
      </c>
      <c r="H2586" s="247"/>
      <c r="I2586" s="45"/>
    </row>
    <row r="2587" spans="1:9" ht="17.25">
      <c r="A2587" s="3">
        <f>IF(F2587="","",COUNTA($F$1249:F2587))</f>
      </c>
      <c r="B2587" s="61" t="s">
        <v>1382</v>
      </c>
      <c r="C2587" s="57"/>
      <c r="D2587" s="57"/>
      <c r="E2587" s="89"/>
      <c r="F2587" s="89"/>
      <c r="G2587" s="125" t="e">
        <f t="shared" si="60"/>
        <v>#DIV/0!</v>
      </c>
      <c r="H2587" s="247"/>
      <c r="I2587" s="45"/>
    </row>
    <row r="2588" spans="1:9" ht="16.5">
      <c r="A2588" s="3">
        <f>IF(F2588="","",COUNTA($F$1249:F2588))</f>
        <v>1243</v>
      </c>
      <c r="B2588" s="46" t="s">
        <v>1360</v>
      </c>
      <c r="C2588" s="57" t="s">
        <v>1944</v>
      </c>
      <c r="D2588" s="57" t="s">
        <v>1293</v>
      </c>
      <c r="E2588" s="89">
        <v>1177000</v>
      </c>
      <c r="F2588" s="89">
        <v>1177000</v>
      </c>
      <c r="G2588" s="125">
        <f t="shared" si="60"/>
        <v>0</v>
      </c>
      <c r="H2588" s="247"/>
      <c r="I2588" s="45"/>
    </row>
    <row r="2589" spans="1:9" ht="16.5">
      <c r="A2589" s="3">
        <f>IF(F2589="","",COUNTA($F$1249:F2589))</f>
        <v>1244</v>
      </c>
      <c r="B2589" s="46" t="s">
        <v>1347</v>
      </c>
      <c r="C2589" s="57" t="s">
        <v>1944</v>
      </c>
      <c r="D2589" s="57" t="s">
        <v>1293</v>
      </c>
      <c r="E2589" s="89">
        <v>1284000</v>
      </c>
      <c r="F2589" s="89">
        <v>1284000</v>
      </c>
      <c r="G2589" s="125">
        <f t="shared" si="60"/>
        <v>0</v>
      </c>
      <c r="H2589" s="247"/>
      <c r="I2589" s="45"/>
    </row>
    <row r="2590" spans="1:9" ht="16.5">
      <c r="A2590" s="3">
        <f>IF(F2590="","",COUNTA($F$1249:F2590))</f>
        <v>1245</v>
      </c>
      <c r="B2590" s="46" t="s">
        <v>1348</v>
      </c>
      <c r="C2590" s="57" t="s">
        <v>1944</v>
      </c>
      <c r="D2590" s="57" t="s">
        <v>1293</v>
      </c>
      <c r="E2590" s="89">
        <v>1391000</v>
      </c>
      <c r="F2590" s="89">
        <v>1391000</v>
      </c>
      <c r="G2590" s="125">
        <f t="shared" si="60"/>
        <v>0</v>
      </c>
      <c r="H2590" s="247"/>
      <c r="I2590" s="45"/>
    </row>
    <row r="2591" spans="1:9" ht="16.5">
      <c r="A2591" s="3">
        <f>IF(F2591="","",COUNTA($F$1249:F2591))</f>
        <v>1246</v>
      </c>
      <c r="B2591" s="46" t="s">
        <v>1349</v>
      </c>
      <c r="C2591" s="57" t="s">
        <v>1944</v>
      </c>
      <c r="D2591" s="57" t="s">
        <v>1293</v>
      </c>
      <c r="E2591" s="89">
        <v>2012000</v>
      </c>
      <c r="F2591" s="89">
        <v>2012000</v>
      </c>
      <c r="G2591" s="125">
        <f t="shared" si="60"/>
        <v>0</v>
      </c>
      <c r="H2591" s="247"/>
      <c r="I2591" s="45"/>
    </row>
    <row r="2592" spans="1:9" ht="16.5">
      <c r="A2592" s="3">
        <f>IF(F2592="","",COUNTA($F$1249:F2592))</f>
        <v>1247</v>
      </c>
      <c r="B2592" s="46" t="s">
        <v>1350</v>
      </c>
      <c r="C2592" s="57" t="s">
        <v>1944</v>
      </c>
      <c r="D2592" s="57" t="s">
        <v>1293</v>
      </c>
      <c r="E2592" s="89">
        <v>2140000</v>
      </c>
      <c r="F2592" s="89">
        <v>2140000</v>
      </c>
      <c r="G2592" s="125">
        <f t="shared" si="60"/>
        <v>0</v>
      </c>
      <c r="H2592" s="247"/>
      <c r="I2592" s="45"/>
    </row>
    <row r="2593" spans="1:9" ht="16.5">
      <c r="A2593" s="3">
        <f>IF(F2593="","",COUNTA($F$1249:F2593))</f>
        <v>1248</v>
      </c>
      <c r="B2593" s="46" t="s">
        <v>1351</v>
      </c>
      <c r="C2593" s="57" t="s">
        <v>1944</v>
      </c>
      <c r="D2593" s="57" t="s">
        <v>1293</v>
      </c>
      <c r="E2593" s="89">
        <v>2782000</v>
      </c>
      <c r="F2593" s="89">
        <v>2782000</v>
      </c>
      <c r="G2593" s="125">
        <f t="shared" si="60"/>
        <v>0</v>
      </c>
      <c r="H2593" s="247"/>
      <c r="I2593" s="45"/>
    </row>
    <row r="2594" spans="1:9" ht="16.5">
      <c r="A2594" s="3">
        <f>IF(F2594="","",COUNTA($F$1249:F2594))</f>
        <v>1249</v>
      </c>
      <c r="B2594" s="46" t="s">
        <v>1355</v>
      </c>
      <c r="C2594" s="57" t="s">
        <v>1944</v>
      </c>
      <c r="D2594" s="57" t="s">
        <v>1293</v>
      </c>
      <c r="E2594" s="89">
        <v>2782000</v>
      </c>
      <c r="F2594" s="89">
        <v>2782000</v>
      </c>
      <c r="G2594" s="125">
        <f t="shared" si="60"/>
        <v>0</v>
      </c>
      <c r="H2594" s="247"/>
      <c r="I2594" s="45"/>
    </row>
    <row r="2595" spans="1:9" ht="16.5">
      <c r="A2595" s="3">
        <f>IF(F2595="","",COUNTA($F$1249:F2595))</f>
        <v>1250</v>
      </c>
      <c r="B2595" s="46" t="s">
        <v>1356</v>
      </c>
      <c r="C2595" s="57" t="s">
        <v>1944</v>
      </c>
      <c r="D2595" s="57" t="s">
        <v>1293</v>
      </c>
      <c r="E2595" s="89">
        <v>3050000</v>
      </c>
      <c r="F2595" s="89">
        <v>3050000</v>
      </c>
      <c r="G2595" s="125">
        <f t="shared" si="60"/>
        <v>0</v>
      </c>
      <c r="H2595" s="247"/>
      <c r="I2595" s="45"/>
    </row>
    <row r="2596" spans="1:9" ht="16.5">
      <c r="A2596" s="3">
        <f>IF(F2596="","",COUNTA($F$1249:F2596))</f>
        <v>1251</v>
      </c>
      <c r="B2596" s="46" t="s">
        <v>1357</v>
      </c>
      <c r="C2596" s="57" t="s">
        <v>1944</v>
      </c>
      <c r="D2596" s="57" t="s">
        <v>1293</v>
      </c>
      <c r="E2596" s="89">
        <v>3210000</v>
      </c>
      <c r="F2596" s="89">
        <v>3210000</v>
      </c>
      <c r="G2596" s="125">
        <f t="shared" si="60"/>
        <v>0</v>
      </c>
      <c r="H2596" s="247"/>
      <c r="I2596" s="45"/>
    </row>
    <row r="2597" spans="1:9" ht="16.5">
      <c r="A2597" s="3">
        <f>IF(F2597="","",COUNTA($F$1249:F2597))</f>
        <v>1252</v>
      </c>
      <c r="B2597" s="46" t="s">
        <v>1358</v>
      </c>
      <c r="C2597" s="57" t="s">
        <v>1944</v>
      </c>
      <c r="D2597" s="57" t="s">
        <v>1293</v>
      </c>
      <c r="E2597" s="89">
        <v>3424000</v>
      </c>
      <c r="F2597" s="89">
        <v>3424000</v>
      </c>
      <c r="G2597" s="125">
        <f t="shared" si="60"/>
        <v>0</v>
      </c>
      <c r="H2597" s="247"/>
      <c r="I2597" s="45"/>
    </row>
    <row r="2598" spans="1:9" ht="33">
      <c r="A2598" s="3">
        <f>IF(F2598="","",COUNTA($F$1249:F2598))</f>
      </c>
      <c r="B2598" s="61" t="s">
        <v>1383</v>
      </c>
      <c r="C2598" s="57"/>
      <c r="D2598" s="57" t="s">
        <v>1384</v>
      </c>
      <c r="E2598" s="89"/>
      <c r="F2598" s="89"/>
      <c r="G2598" s="125" t="e">
        <f t="shared" si="60"/>
        <v>#DIV/0!</v>
      </c>
      <c r="H2598" s="247"/>
      <c r="I2598" s="45"/>
    </row>
    <row r="2599" spans="1:9" ht="33">
      <c r="A2599" s="3">
        <f>IF(F2599="","",COUNTA($F$1249:F2599))</f>
        <v>1253</v>
      </c>
      <c r="B2599" s="46" t="s">
        <v>1385</v>
      </c>
      <c r="C2599" s="57" t="s">
        <v>1944</v>
      </c>
      <c r="D2599" s="57" t="s">
        <v>1293</v>
      </c>
      <c r="E2599" s="89">
        <v>9500000</v>
      </c>
      <c r="F2599" s="89">
        <v>9500000</v>
      </c>
      <c r="G2599" s="125">
        <f t="shared" si="60"/>
        <v>0</v>
      </c>
      <c r="H2599" s="247"/>
      <c r="I2599" s="45"/>
    </row>
    <row r="2600" spans="1:9" ht="33">
      <c r="A2600" s="3">
        <f>IF(F2600="","",COUNTA($F$1249:F2600))</f>
        <v>1254</v>
      </c>
      <c r="B2600" s="46" t="s">
        <v>1386</v>
      </c>
      <c r="C2600" s="57" t="s">
        <v>1944</v>
      </c>
      <c r="D2600" s="57" t="s">
        <v>1387</v>
      </c>
      <c r="E2600" s="89">
        <v>7500000</v>
      </c>
      <c r="F2600" s="89">
        <v>7500000</v>
      </c>
      <c r="G2600" s="125">
        <f t="shared" si="60"/>
        <v>0</v>
      </c>
      <c r="H2600" s="247"/>
      <c r="I2600" s="45"/>
    </row>
    <row r="2601" spans="1:9" ht="16.5">
      <c r="A2601" s="3">
        <f>IF(F2601="","",COUNTA($F$1249:F2601))</f>
      </c>
      <c r="B2601" s="46" t="s">
        <v>1388</v>
      </c>
      <c r="C2601" s="57"/>
      <c r="D2601" s="57" t="s">
        <v>1389</v>
      </c>
      <c r="E2601" s="89"/>
      <c r="F2601" s="89"/>
      <c r="G2601" s="125" t="e">
        <f t="shared" si="60"/>
        <v>#DIV/0!</v>
      </c>
      <c r="H2601" s="247"/>
      <c r="I2601" s="45"/>
    </row>
    <row r="2602" spans="1:9" ht="16.5">
      <c r="A2602" s="3">
        <f>IF(F2602="","",COUNTA($F$1249:F2602))</f>
        <v>1255</v>
      </c>
      <c r="B2602" s="46" t="s">
        <v>1390</v>
      </c>
      <c r="C2602" s="57" t="s">
        <v>1944</v>
      </c>
      <c r="D2602" s="57" t="s">
        <v>1391</v>
      </c>
      <c r="E2602" s="89">
        <v>64000</v>
      </c>
      <c r="F2602" s="89">
        <v>64000</v>
      </c>
      <c r="G2602" s="125">
        <f t="shared" si="60"/>
        <v>0</v>
      </c>
      <c r="H2602" s="247"/>
      <c r="I2602" s="45"/>
    </row>
    <row r="2603" spans="1:9" ht="16.5">
      <c r="A2603" s="3">
        <f>IF(F2603="","",COUNTA($F$1249:F2603))</f>
        <v>1256</v>
      </c>
      <c r="B2603" s="46" t="s">
        <v>1392</v>
      </c>
      <c r="C2603" s="57" t="s">
        <v>1944</v>
      </c>
      <c r="D2603" s="57" t="s">
        <v>1391</v>
      </c>
      <c r="E2603" s="89">
        <v>70000</v>
      </c>
      <c r="F2603" s="89">
        <v>70000</v>
      </c>
      <c r="G2603" s="125">
        <f t="shared" si="60"/>
        <v>0</v>
      </c>
      <c r="H2603" s="247"/>
      <c r="I2603" s="45"/>
    </row>
    <row r="2604" spans="1:9" ht="16.5">
      <c r="A2604" s="3">
        <f>IF(F2604="","",COUNTA($F$1249:F2604))</f>
        <v>1257</v>
      </c>
      <c r="B2604" s="46" t="s">
        <v>1393</v>
      </c>
      <c r="C2604" s="57" t="s">
        <v>1944</v>
      </c>
      <c r="D2604" s="57" t="s">
        <v>1391</v>
      </c>
      <c r="E2604" s="89">
        <v>80000</v>
      </c>
      <c r="F2604" s="89">
        <v>80000</v>
      </c>
      <c r="G2604" s="125">
        <f t="shared" si="60"/>
        <v>0</v>
      </c>
      <c r="H2604" s="247"/>
      <c r="I2604" s="45"/>
    </row>
    <row r="2605" spans="1:9" ht="16.5">
      <c r="A2605" s="3">
        <f>IF(F2605="","",COUNTA($F$1249:F2605))</f>
        <v>1258</v>
      </c>
      <c r="B2605" s="46" t="s">
        <v>1394</v>
      </c>
      <c r="C2605" s="57" t="s">
        <v>1944</v>
      </c>
      <c r="D2605" s="57" t="s">
        <v>1391</v>
      </c>
      <c r="E2605" s="89">
        <v>123000</v>
      </c>
      <c r="F2605" s="89">
        <v>123000</v>
      </c>
      <c r="G2605" s="125">
        <f t="shared" si="60"/>
        <v>0</v>
      </c>
      <c r="H2605" s="247"/>
      <c r="I2605" s="45"/>
    </row>
    <row r="2606" spans="1:9" ht="16.5">
      <c r="A2606" s="3">
        <f>IF(F2606="","",COUNTA($F$1249:F2606))</f>
        <v>1259</v>
      </c>
      <c r="B2606" s="46" t="s">
        <v>1395</v>
      </c>
      <c r="C2606" s="57" t="s">
        <v>1944</v>
      </c>
      <c r="D2606" s="57" t="s">
        <v>1391</v>
      </c>
      <c r="E2606" s="89">
        <v>139000</v>
      </c>
      <c r="F2606" s="89">
        <v>139000</v>
      </c>
      <c r="G2606" s="125">
        <f t="shared" si="60"/>
        <v>0</v>
      </c>
      <c r="H2606" s="247"/>
      <c r="I2606" s="45"/>
    </row>
    <row r="2607" spans="1:9" ht="33">
      <c r="A2607" s="3">
        <f>IF(F2607="","",COUNTA($F$1249:F2607))</f>
        <v>1260</v>
      </c>
      <c r="B2607" s="46" t="s">
        <v>1396</v>
      </c>
      <c r="C2607" s="57" t="s">
        <v>1944</v>
      </c>
      <c r="D2607" s="57" t="s">
        <v>1391</v>
      </c>
      <c r="E2607" s="89">
        <v>1017000</v>
      </c>
      <c r="F2607" s="89">
        <v>1017000</v>
      </c>
      <c r="G2607" s="125">
        <f t="shared" si="60"/>
        <v>0</v>
      </c>
      <c r="H2607" s="247"/>
      <c r="I2607" s="45"/>
    </row>
    <row r="2608" spans="1:9" ht="33">
      <c r="A2608" s="3">
        <f>IF(F2608="","",COUNTA($F$1249:F2608))</f>
        <v>1261</v>
      </c>
      <c r="B2608" s="46" t="s">
        <v>1397</v>
      </c>
      <c r="C2608" s="57" t="s">
        <v>1944</v>
      </c>
      <c r="D2608" s="57" t="s">
        <v>1391</v>
      </c>
      <c r="E2608" s="89">
        <v>1070000</v>
      </c>
      <c r="F2608" s="89">
        <v>1070000</v>
      </c>
      <c r="G2608" s="125">
        <f t="shared" si="60"/>
        <v>0</v>
      </c>
      <c r="H2608" s="247"/>
      <c r="I2608" s="45"/>
    </row>
    <row r="2609" spans="1:9" ht="33">
      <c r="A2609" s="3">
        <f>IF(F2609="","",COUNTA($F$1249:F2609))</f>
        <v>1262</v>
      </c>
      <c r="B2609" s="46" t="s">
        <v>1398</v>
      </c>
      <c r="C2609" s="57" t="s">
        <v>1944</v>
      </c>
      <c r="D2609" s="57" t="s">
        <v>1391</v>
      </c>
      <c r="E2609" s="89">
        <v>1230000</v>
      </c>
      <c r="F2609" s="89">
        <v>1230000</v>
      </c>
      <c r="G2609" s="125">
        <f t="shared" si="60"/>
        <v>0</v>
      </c>
      <c r="H2609" s="247"/>
      <c r="I2609" s="45"/>
    </row>
    <row r="2610" spans="1:9" ht="33">
      <c r="A2610" s="3">
        <f>IF(F2610="","",COUNTA($F$1249:F2610))</f>
        <v>1263</v>
      </c>
      <c r="B2610" s="46" t="s">
        <v>1399</v>
      </c>
      <c r="C2610" s="57" t="s">
        <v>1944</v>
      </c>
      <c r="D2610" s="57" t="s">
        <v>1391</v>
      </c>
      <c r="E2610" s="89">
        <v>1390000</v>
      </c>
      <c r="F2610" s="89">
        <v>1390000</v>
      </c>
      <c r="G2610" s="125">
        <f t="shared" si="60"/>
        <v>0</v>
      </c>
      <c r="H2610" s="247"/>
      <c r="I2610" s="45"/>
    </row>
    <row r="2611" spans="1:9" ht="33">
      <c r="A2611" s="3">
        <f>IF(F2611="","",COUNTA($F$1249:F2611))</f>
        <v>1264</v>
      </c>
      <c r="B2611" s="46" t="s">
        <v>1400</v>
      </c>
      <c r="C2611" s="57" t="s">
        <v>1944</v>
      </c>
      <c r="D2611" s="57" t="s">
        <v>1391</v>
      </c>
      <c r="E2611" s="89">
        <v>1605000</v>
      </c>
      <c r="F2611" s="89">
        <v>1605000</v>
      </c>
      <c r="G2611" s="125">
        <f t="shared" si="60"/>
        <v>0</v>
      </c>
      <c r="H2611" s="247"/>
      <c r="I2611" s="45"/>
    </row>
    <row r="2612" spans="1:9" ht="33">
      <c r="A2612" s="3">
        <f>IF(F2612="","",COUNTA($F$1249:F2612))</f>
        <v>1265</v>
      </c>
      <c r="B2612" s="46" t="s">
        <v>1401</v>
      </c>
      <c r="C2612" s="57" t="s">
        <v>1944</v>
      </c>
      <c r="D2612" s="57" t="s">
        <v>1391</v>
      </c>
      <c r="E2612" s="89">
        <v>1819000</v>
      </c>
      <c r="F2612" s="89">
        <v>1819000</v>
      </c>
      <c r="G2612" s="125">
        <f t="shared" si="60"/>
        <v>0</v>
      </c>
      <c r="H2612" s="247"/>
      <c r="I2612" s="45"/>
    </row>
    <row r="2613" spans="1:9" ht="33">
      <c r="A2613" s="3">
        <f>IF(F2613="","",COUNTA($F$1249:F2613))</f>
        <v>1266</v>
      </c>
      <c r="B2613" s="46" t="s">
        <v>1402</v>
      </c>
      <c r="C2613" s="57" t="s">
        <v>1944</v>
      </c>
      <c r="D2613" s="57" t="s">
        <v>1391</v>
      </c>
      <c r="E2613" s="89">
        <v>2033000</v>
      </c>
      <c r="F2613" s="89">
        <v>2033000</v>
      </c>
      <c r="G2613" s="125">
        <f t="shared" si="60"/>
        <v>0</v>
      </c>
      <c r="H2613" s="247"/>
      <c r="I2613" s="45"/>
    </row>
    <row r="2614" spans="1:9" ht="33">
      <c r="A2614" s="3">
        <f>IF(F2614="","",COUNTA($F$1249:F2614))</f>
        <v>1267</v>
      </c>
      <c r="B2614" s="46" t="s">
        <v>1403</v>
      </c>
      <c r="C2614" s="57" t="s">
        <v>1944</v>
      </c>
      <c r="D2614" s="57" t="s">
        <v>1391</v>
      </c>
      <c r="E2614" s="89">
        <v>2460000</v>
      </c>
      <c r="F2614" s="89">
        <v>2460000</v>
      </c>
      <c r="G2614" s="125">
        <f t="shared" si="60"/>
        <v>0</v>
      </c>
      <c r="H2614" s="247"/>
      <c r="I2614" s="45"/>
    </row>
    <row r="2615" spans="1:9" ht="33">
      <c r="A2615" s="3">
        <f>IF(F2615="","",COUNTA($F$1249:F2615))</f>
        <v>1268</v>
      </c>
      <c r="B2615" s="46" t="s">
        <v>1404</v>
      </c>
      <c r="C2615" s="57" t="s">
        <v>1944</v>
      </c>
      <c r="D2615" s="57" t="s">
        <v>1391</v>
      </c>
      <c r="E2615" s="89">
        <v>2675000</v>
      </c>
      <c r="F2615" s="89">
        <v>2675000</v>
      </c>
      <c r="G2615" s="125">
        <f t="shared" si="60"/>
        <v>0</v>
      </c>
      <c r="H2615" s="247"/>
      <c r="I2615" s="45"/>
    </row>
    <row r="2616" spans="1:9" ht="33">
      <c r="A2616" s="3">
        <f>IF(F2616="","",COUNTA($F$1249:F2616))</f>
        <v>1269</v>
      </c>
      <c r="B2616" s="46" t="s">
        <v>1405</v>
      </c>
      <c r="C2616" s="57" t="s">
        <v>1944</v>
      </c>
      <c r="D2616" s="57" t="s">
        <v>1391</v>
      </c>
      <c r="E2616" s="89">
        <v>2889000</v>
      </c>
      <c r="F2616" s="89">
        <v>2889000</v>
      </c>
      <c r="G2616" s="125">
        <f aca="true" t="shared" si="61" ref="G2616:G2679">(E2616-F2616)/E2616</f>
        <v>0</v>
      </c>
      <c r="H2616" s="247"/>
      <c r="I2616" s="45"/>
    </row>
    <row r="2617" spans="1:9" ht="33">
      <c r="A2617" s="3">
        <f>IF(F2617="","",COUNTA($F$1249:F2617))</f>
        <v>1270</v>
      </c>
      <c r="B2617" s="46" t="s">
        <v>1406</v>
      </c>
      <c r="C2617" s="57" t="s">
        <v>1944</v>
      </c>
      <c r="D2617" s="57" t="s">
        <v>1391</v>
      </c>
      <c r="E2617" s="89">
        <v>3852000</v>
      </c>
      <c r="F2617" s="89">
        <v>3852000</v>
      </c>
      <c r="G2617" s="125">
        <f t="shared" si="61"/>
        <v>0</v>
      </c>
      <c r="H2617" s="247"/>
      <c r="I2617" s="45"/>
    </row>
    <row r="2618" spans="1:9" ht="33">
      <c r="A2618" s="3">
        <f>IF(F2618="","",COUNTA($F$1249:F2618))</f>
        <v>1271</v>
      </c>
      <c r="B2618" s="46" t="s">
        <v>1407</v>
      </c>
      <c r="C2618" s="57" t="s">
        <v>1944</v>
      </c>
      <c r="D2618" s="57" t="s">
        <v>1391</v>
      </c>
      <c r="E2618" s="89">
        <v>4066000</v>
      </c>
      <c r="F2618" s="89">
        <v>4066000</v>
      </c>
      <c r="G2618" s="125">
        <f t="shared" si="61"/>
        <v>0</v>
      </c>
      <c r="H2618" s="247"/>
      <c r="I2618" s="45"/>
    </row>
    <row r="2619" spans="1:9" ht="33">
      <c r="A2619" s="3">
        <f>IF(F2619="","",COUNTA($F$1249:F2619))</f>
        <v>1272</v>
      </c>
      <c r="B2619" s="46" t="s">
        <v>1408</v>
      </c>
      <c r="C2619" s="57" t="s">
        <v>1944</v>
      </c>
      <c r="D2619" s="57" t="s">
        <v>1391</v>
      </c>
      <c r="E2619" s="89">
        <v>4815000</v>
      </c>
      <c r="F2619" s="89">
        <v>4815000</v>
      </c>
      <c r="G2619" s="125">
        <f t="shared" si="61"/>
        <v>0</v>
      </c>
      <c r="H2619" s="247"/>
      <c r="I2619" s="45"/>
    </row>
    <row r="2620" spans="1:9" ht="33">
      <c r="A2620" s="3">
        <f>IF(F2620="","",COUNTA($F$1249:F2620))</f>
        <v>1273</v>
      </c>
      <c r="B2620" s="46" t="s">
        <v>1409</v>
      </c>
      <c r="C2620" s="57" t="s">
        <v>1944</v>
      </c>
      <c r="D2620" s="57" t="s">
        <v>1391</v>
      </c>
      <c r="E2620" s="89">
        <v>5350000</v>
      </c>
      <c r="F2620" s="89">
        <v>5350000</v>
      </c>
      <c r="G2620" s="125">
        <f t="shared" si="61"/>
        <v>0</v>
      </c>
      <c r="H2620" s="247"/>
      <c r="I2620" s="45"/>
    </row>
    <row r="2621" spans="1:9" ht="33">
      <c r="A2621" s="3">
        <f>IF(F2621="","",COUNTA($F$1249:F2621))</f>
        <v>1274</v>
      </c>
      <c r="B2621" s="46" t="s">
        <v>1410</v>
      </c>
      <c r="C2621" s="57" t="s">
        <v>1944</v>
      </c>
      <c r="D2621" s="57" t="s">
        <v>1391</v>
      </c>
      <c r="E2621" s="89">
        <v>6420000</v>
      </c>
      <c r="F2621" s="89">
        <v>6420000</v>
      </c>
      <c r="G2621" s="125">
        <f t="shared" si="61"/>
        <v>0</v>
      </c>
      <c r="H2621" s="247"/>
      <c r="I2621" s="45"/>
    </row>
    <row r="2622" spans="1:9" ht="33">
      <c r="A2622" s="3">
        <f>IF(F2622="","",COUNTA($F$1249:F2622))</f>
        <v>1275</v>
      </c>
      <c r="B2622" s="46" t="s">
        <v>1411</v>
      </c>
      <c r="C2622" s="57" t="s">
        <v>1944</v>
      </c>
      <c r="D2622" s="57" t="s">
        <v>1391</v>
      </c>
      <c r="E2622" s="89">
        <v>7276000</v>
      </c>
      <c r="F2622" s="89">
        <v>7276000</v>
      </c>
      <c r="G2622" s="125">
        <f t="shared" si="61"/>
        <v>0</v>
      </c>
      <c r="H2622" s="247"/>
      <c r="I2622" s="45"/>
    </row>
    <row r="2623" spans="1:9" ht="17.25">
      <c r="A2623" s="3">
        <f>IF(F2623="","",COUNTA($F$1249:F2623))</f>
      </c>
      <c r="B2623" s="47" t="s">
        <v>695</v>
      </c>
      <c r="C2623" s="20"/>
      <c r="E2623" s="219"/>
      <c r="F2623" s="48"/>
      <c r="G2623" s="125" t="e">
        <f t="shared" si="61"/>
        <v>#DIV/0!</v>
      </c>
      <c r="H2623" s="247" t="s">
        <v>1203</v>
      </c>
      <c r="I2623" s="49"/>
    </row>
    <row r="2624" spans="1:9" ht="16.5">
      <c r="A2624" s="3">
        <f>IF(F2624="","",COUNTA($F$1249:F2624))</f>
        <v>1276</v>
      </c>
      <c r="B2624" s="46" t="s">
        <v>696</v>
      </c>
      <c r="C2624" s="21" t="s">
        <v>697</v>
      </c>
      <c r="E2624" s="221">
        <v>1936363.6363636362</v>
      </c>
      <c r="F2624" s="136">
        <v>1936363.6363636362</v>
      </c>
      <c r="G2624" s="125">
        <f t="shared" si="61"/>
        <v>0</v>
      </c>
      <c r="H2624" s="247"/>
      <c r="I2624" s="45"/>
    </row>
    <row r="2625" spans="1:9" ht="16.5">
      <c r="A2625" s="3">
        <f>IF(F2625="","",COUNTA($F$1249:F2625))</f>
        <v>1277</v>
      </c>
      <c r="B2625" s="46" t="s">
        <v>698</v>
      </c>
      <c r="C2625" s="21" t="s">
        <v>697</v>
      </c>
      <c r="E2625" s="221">
        <v>2163636.3636363633</v>
      </c>
      <c r="F2625" s="136">
        <v>2163636.3636363633</v>
      </c>
      <c r="G2625" s="125">
        <f t="shared" si="61"/>
        <v>0</v>
      </c>
      <c r="H2625" s="247"/>
      <c r="I2625" s="45"/>
    </row>
    <row r="2626" spans="1:9" ht="16.5">
      <c r="A2626" s="3">
        <f>IF(F2626="","",COUNTA($F$1249:F2626))</f>
        <v>1278</v>
      </c>
      <c r="B2626" s="46" t="s">
        <v>699</v>
      </c>
      <c r="C2626" s="21" t="s">
        <v>697</v>
      </c>
      <c r="E2626" s="221">
        <v>2772727</v>
      </c>
      <c r="F2626" s="136">
        <v>2772727</v>
      </c>
      <c r="G2626" s="125">
        <f t="shared" si="61"/>
        <v>0</v>
      </c>
      <c r="H2626" s="247"/>
      <c r="I2626" s="45"/>
    </row>
    <row r="2627" spans="1:9" ht="16.5">
      <c r="A2627" s="3">
        <f>IF(F2627="","",COUNTA($F$1249:F2627))</f>
        <v>1279</v>
      </c>
      <c r="B2627" s="46" t="s">
        <v>700</v>
      </c>
      <c r="C2627" s="21" t="s">
        <v>697</v>
      </c>
      <c r="E2627" s="221">
        <v>4272727</v>
      </c>
      <c r="F2627" s="136">
        <v>4272727</v>
      </c>
      <c r="G2627" s="125">
        <f t="shared" si="61"/>
        <v>0</v>
      </c>
      <c r="H2627" s="247"/>
      <c r="I2627" s="45"/>
    </row>
    <row r="2628" spans="1:9" ht="16.5">
      <c r="A2628" s="3">
        <f>IF(F2628="","",COUNTA($F$1249:F2628))</f>
        <v>1280</v>
      </c>
      <c r="B2628" s="46" t="s">
        <v>701</v>
      </c>
      <c r="C2628" s="21" t="s">
        <v>697</v>
      </c>
      <c r="E2628" s="221">
        <v>5454545</v>
      </c>
      <c r="F2628" s="136">
        <v>5454545</v>
      </c>
      <c r="G2628" s="125">
        <f t="shared" si="61"/>
        <v>0</v>
      </c>
      <c r="H2628" s="247"/>
      <c r="I2628" s="45"/>
    </row>
    <row r="2629" spans="1:9" ht="16.5">
      <c r="A2629" s="3">
        <f>IF(F2629="","",COUNTA($F$1249:F2629))</f>
        <v>1281</v>
      </c>
      <c r="B2629" s="46" t="s">
        <v>702</v>
      </c>
      <c r="C2629" s="21" t="s">
        <v>697</v>
      </c>
      <c r="E2629" s="221">
        <v>5909090.909090908</v>
      </c>
      <c r="F2629" s="136">
        <v>5909090.909090908</v>
      </c>
      <c r="G2629" s="125">
        <f t="shared" si="61"/>
        <v>0</v>
      </c>
      <c r="H2629" s="247"/>
      <c r="I2629" s="45"/>
    </row>
    <row r="2630" spans="1:9" ht="16.5">
      <c r="A2630" s="3">
        <f>IF(F2630="","",COUNTA($F$1249:F2630))</f>
        <v>1282</v>
      </c>
      <c r="B2630" s="46" t="s">
        <v>703</v>
      </c>
      <c r="C2630" s="21" t="s">
        <v>697</v>
      </c>
      <c r="E2630" s="221">
        <v>7090909.09090909</v>
      </c>
      <c r="F2630" s="136">
        <v>7090909.09090909</v>
      </c>
      <c r="G2630" s="125">
        <f t="shared" si="61"/>
        <v>0</v>
      </c>
      <c r="H2630" s="247"/>
      <c r="I2630" s="45"/>
    </row>
    <row r="2631" spans="1:9" ht="16.5">
      <c r="A2631" s="3">
        <f>IF(F2631="","",COUNTA($F$1249:F2631))</f>
        <v>1283</v>
      </c>
      <c r="B2631" s="46" t="s">
        <v>704</v>
      </c>
      <c r="C2631" s="21" t="s">
        <v>697</v>
      </c>
      <c r="E2631" s="221">
        <v>7499999.999999999</v>
      </c>
      <c r="F2631" s="136">
        <v>7499999.999999999</v>
      </c>
      <c r="G2631" s="125">
        <f t="shared" si="61"/>
        <v>0</v>
      </c>
      <c r="H2631" s="247"/>
      <c r="I2631" s="45"/>
    </row>
    <row r="2632" spans="1:9" ht="16.5">
      <c r="A2632" s="3">
        <f>IF(F2632="","",COUNTA($F$1249:F2632))</f>
        <v>1284</v>
      </c>
      <c r="B2632" s="46" t="s">
        <v>705</v>
      </c>
      <c r="C2632" s="21" t="s">
        <v>697</v>
      </c>
      <c r="E2632" s="221">
        <v>8227272.727272727</v>
      </c>
      <c r="F2632" s="136">
        <v>8227272.727272727</v>
      </c>
      <c r="G2632" s="125">
        <f t="shared" si="61"/>
        <v>0</v>
      </c>
      <c r="H2632" s="247"/>
      <c r="I2632" s="45"/>
    </row>
    <row r="2633" spans="1:9" ht="16.5">
      <c r="A2633" s="3">
        <f>IF(F2633="","",COUNTA($F$1249:F2633))</f>
        <v>1285</v>
      </c>
      <c r="B2633" s="46" t="s">
        <v>706</v>
      </c>
      <c r="C2633" s="21" t="s">
        <v>697</v>
      </c>
      <c r="E2633" s="221">
        <v>8590909.09090909</v>
      </c>
      <c r="F2633" s="136">
        <v>8590909.09090909</v>
      </c>
      <c r="G2633" s="125">
        <f t="shared" si="61"/>
        <v>0</v>
      </c>
      <c r="H2633" s="247"/>
      <c r="I2633" s="45"/>
    </row>
    <row r="2634" spans="1:9" ht="17.25">
      <c r="A2634" s="3">
        <f>IF(F2634="","",COUNTA($F$1249:F2634))</f>
      </c>
      <c r="B2634" s="47" t="s">
        <v>707</v>
      </c>
      <c r="C2634" s="20"/>
      <c r="E2634" s="222"/>
      <c r="F2634" s="135"/>
      <c r="G2634" s="125" t="e">
        <f t="shared" si="61"/>
        <v>#DIV/0!</v>
      </c>
      <c r="H2634" s="247"/>
      <c r="I2634" s="49"/>
    </row>
    <row r="2635" spans="1:9" ht="16.5">
      <c r="A2635" s="3">
        <f>IF(F2635="","",COUNTA($F$1249:F2635))</f>
        <v>1286</v>
      </c>
      <c r="B2635" s="46" t="s">
        <v>696</v>
      </c>
      <c r="C2635" s="21" t="s">
        <v>697</v>
      </c>
      <c r="E2635" s="221">
        <v>1818181.8181818181</v>
      </c>
      <c r="F2635" s="136">
        <v>1818181.8181818181</v>
      </c>
      <c r="G2635" s="125">
        <f t="shared" si="61"/>
        <v>0</v>
      </c>
      <c r="H2635" s="247"/>
      <c r="I2635" s="45"/>
    </row>
    <row r="2636" spans="1:9" ht="16.5">
      <c r="A2636" s="3">
        <f>IF(F2636="","",COUNTA($F$1249:F2636))</f>
        <v>1287</v>
      </c>
      <c r="B2636" s="46" t="s">
        <v>698</v>
      </c>
      <c r="C2636" s="21" t="s">
        <v>697</v>
      </c>
      <c r="E2636" s="221">
        <v>2045454.5454545452</v>
      </c>
      <c r="F2636" s="136">
        <v>2045454.5454545452</v>
      </c>
      <c r="G2636" s="125">
        <f t="shared" si="61"/>
        <v>0</v>
      </c>
      <c r="H2636" s="247"/>
      <c r="I2636" s="45"/>
    </row>
    <row r="2637" spans="1:9" ht="16.5">
      <c r="A2637" s="3">
        <f>IF(F2637="","",COUNTA($F$1249:F2637))</f>
        <v>1288</v>
      </c>
      <c r="B2637" s="46" t="s">
        <v>699</v>
      </c>
      <c r="C2637" s="21" t="s">
        <v>697</v>
      </c>
      <c r="E2637" s="221">
        <v>2636363.6363636362</v>
      </c>
      <c r="F2637" s="136">
        <v>2636363.6363636362</v>
      </c>
      <c r="G2637" s="125">
        <f t="shared" si="61"/>
        <v>0</v>
      </c>
      <c r="H2637" s="247"/>
      <c r="I2637" s="45"/>
    </row>
    <row r="2638" spans="1:9" ht="16.5">
      <c r="A2638" s="3">
        <f>IF(F2638="","",COUNTA($F$1249:F2638))</f>
        <v>1289</v>
      </c>
      <c r="B2638" s="46" t="s">
        <v>700</v>
      </c>
      <c r="C2638" s="21" t="s">
        <v>697</v>
      </c>
      <c r="E2638" s="221">
        <v>4045454.545454545</v>
      </c>
      <c r="F2638" s="136">
        <v>4045454.545454545</v>
      </c>
      <c r="G2638" s="125">
        <f t="shared" si="61"/>
        <v>0</v>
      </c>
      <c r="H2638" s="247"/>
      <c r="I2638" s="45"/>
    </row>
    <row r="2639" spans="1:9" ht="16.5">
      <c r="A2639" s="3">
        <f>IF(F2639="","",COUNTA($F$1249:F2639))</f>
        <v>1290</v>
      </c>
      <c r="B2639" s="46" t="s">
        <v>701</v>
      </c>
      <c r="C2639" s="21" t="s">
        <v>697</v>
      </c>
      <c r="E2639" s="221">
        <v>5181818.181818182</v>
      </c>
      <c r="F2639" s="136">
        <v>5181818.181818182</v>
      </c>
      <c r="G2639" s="125">
        <f t="shared" si="61"/>
        <v>0</v>
      </c>
      <c r="H2639" s="247"/>
      <c r="I2639" s="45"/>
    </row>
    <row r="2640" spans="1:9" ht="16.5">
      <c r="A2640" s="3">
        <f>IF(F2640="","",COUNTA($F$1249:F2640))</f>
        <v>1291</v>
      </c>
      <c r="B2640" s="46" t="s">
        <v>702</v>
      </c>
      <c r="C2640" s="21" t="s">
        <v>697</v>
      </c>
      <c r="E2640" s="221">
        <v>5500000</v>
      </c>
      <c r="F2640" s="136">
        <v>5500000</v>
      </c>
      <c r="G2640" s="125">
        <f t="shared" si="61"/>
        <v>0</v>
      </c>
      <c r="H2640" s="247"/>
      <c r="I2640" s="45"/>
    </row>
    <row r="2641" spans="1:9" ht="16.5">
      <c r="A2641" s="3">
        <f>IF(F2641="","",COUNTA($F$1249:F2641))</f>
        <v>1292</v>
      </c>
      <c r="B2641" s="46" t="s">
        <v>703</v>
      </c>
      <c r="C2641" s="21" t="s">
        <v>697</v>
      </c>
      <c r="E2641" s="221">
        <v>6636363.636363636</v>
      </c>
      <c r="F2641" s="136">
        <v>6636363.636363636</v>
      </c>
      <c r="G2641" s="125">
        <f t="shared" si="61"/>
        <v>0</v>
      </c>
      <c r="H2641" s="247"/>
      <c r="I2641" s="45"/>
    </row>
    <row r="2642" spans="1:9" ht="16.5">
      <c r="A2642" s="3">
        <f>IF(F2642="","",COUNTA($F$1249:F2642))</f>
        <v>1293</v>
      </c>
      <c r="B2642" s="46" t="s">
        <v>704</v>
      </c>
      <c r="C2642" s="21" t="s">
        <v>697</v>
      </c>
      <c r="E2642" s="221">
        <v>6954545.454545454</v>
      </c>
      <c r="F2642" s="136">
        <v>6954545.454545454</v>
      </c>
      <c r="G2642" s="125">
        <f t="shared" si="61"/>
        <v>0</v>
      </c>
      <c r="H2642" s="247"/>
      <c r="I2642" s="45"/>
    </row>
    <row r="2643" spans="1:9" ht="16.5">
      <c r="A2643" s="3">
        <f>IF(F2643="","",COUNTA($F$1249:F2643))</f>
        <v>1294</v>
      </c>
      <c r="B2643" s="46" t="s">
        <v>705</v>
      </c>
      <c r="C2643" s="21" t="s">
        <v>697</v>
      </c>
      <c r="E2643" s="221">
        <v>7681818.181818182</v>
      </c>
      <c r="F2643" s="136">
        <v>7681818.181818182</v>
      </c>
      <c r="G2643" s="125">
        <f t="shared" si="61"/>
        <v>0</v>
      </c>
      <c r="H2643" s="247"/>
      <c r="I2643" s="45"/>
    </row>
    <row r="2644" spans="1:9" ht="16.5">
      <c r="A2644" s="3">
        <f>IF(F2644="","",COUNTA($F$1249:F2644))</f>
        <v>1295</v>
      </c>
      <c r="B2644" s="46" t="s">
        <v>706</v>
      </c>
      <c r="C2644" s="21" t="s">
        <v>697</v>
      </c>
      <c r="E2644" s="221">
        <v>7999999.999999999</v>
      </c>
      <c r="F2644" s="136">
        <v>7999999.999999999</v>
      </c>
      <c r="G2644" s="125">
        <f t="shared" si="61"/>
        <v>0</v>
      </c>
      <c r="H2644" s="247"/>
      <c r="I2644" s="45"/>
    </row>
    <row r="2645" spans="1:8" ht="17.25" customHeight="1">
      <c r="A2645" s="3">
        <f>IF(F2645="","",COUNTA($F$1249:F2645))</f>
      </c>
      <c r="B2645" s="29" t="s">
        <v>2656</v>
      </c>
      <c r="C2645" s="70"/>
      <c r="E2645" s="10"/>
      <c r="F2645" s="10"/>
      <c r="G2645" s="125" t="e">
        <f t="shared" si="61"/>
        <v>#DIV/0!</v>
      </c>
      <c r="H2645" s="247" t="s">
        <v>8</v>
      </c>
    </row>
    <row r="2646" spans="1:8" ht="16.5">
      <c r="A2646" s="3">
        <f>IF(F2646="","",COUNTA($F$1249:F2646))</f>
        <v>1296</v>
      </c>
      <c r="B2646" s="25" t="s">
        <v>2657</v>
      </c>
      <c r="C2646" s="57" t="s">
        <v>1950</v>
      </c>
      <c r="E2646" s="8">
        <f>1660000/1.1</f>
        <v>1509090.909090909</v>
      </c>
      <c r="F2646" s="8">
        <f>1660000/1.1</f>
        <v>1509090.909090909</v>
      </c>
      <c r="G2646" s="125">
        <f t="shared" si="61"/>
        <v>0</v>
      </c>
      <c r="H2646" s="247"/>
    </row>
    <row r="2647" spans="1:8" ht="16.5">
      <c r="A2647" s="3">
        <f>IF(F2647="","",COUNTA($F$1249:F2647))</f>
        <v>1297</v>
      </c>
      <c r="B2647" s="25" t="s">
        <v>2658</v>
      </c>
      <c r="C2647" s="57" t="s">
        <v>1950</v>
      </c>
      <c r="E2647" s="8">
        <f>1790000/1.1</f>
        <v>1627272.727272727</v>
      </c>
      <c r="F2647" s="8">
        <f>1790000/1.1</f>
        <v>1627272.727272727</v>
      </c>
      <c r="G2647" s="125">
        <f t="shared" si="61"/>
        <v>0</v>
      </c>
      <c r="H2647" s="247"/>
    </row>
    <row r="2648" spans="1:8" ht="16.5">
      <c r="A2648" s="3">
        <f>IF(F2648="","",COUNTA($F$1249:F2648))</f>
        <v>1298</v>
      </c>
      <c r="B2648" s="25" t="s">
        <v>2659</v>
      </c>
      <c r="C2648" s="57" t="s">
        <v>1950</v>
      </c>
      <c r="E2648" s="8">
        <f>2940000/1.1</f>
        <v>2672727.2727272725</v>
      </c>
      <c r="F2648" s="8">
        <f>2940000/1.1</f>
        <v>2672727.2727272725</v>
      </c>
      <c r="G2648" s="125">
        <f t="shared" si="61"/>
        <v>0</v>
      </c>
      <c r="H2648" s="247"/>
    </row>
    <row r="2649" spans="1:8" ht="16.5">
      <c r="A2649" s="3">
        <f>IF(F2649="","",COUNTA($F$1249:F2649))</f>
        <v>1299</v>
      </c>
      <c r="B2649" s="25" t="s">
        <v>2660</v>
      </c>
      <c r="C2649" s="57" t="s">
        <v>1950</v>
      </c>
      <c r="E2649" s="8">
        <f>3160000/1.1</f>
        <v>2872727.2727272725</v>
      </c>
      <c r="F2649" s="8">
        <f>3160000/1.1</f>
        <v>2872727.2727272725</v>
      </c>
      <c r="G2649" s="125">
        <f t="shared" si="61"/>
        <v>0</v>
      </c>
      <c r="H2649" s="247"/>
    </row>
    <row r="2650" spans="1:8" ht="16.5">
      <c r="A2650" s="3">
        <f>IF(F2650="","",COUNTA($F$1249:F2650))</f>
        <v>1300</v>
      </c>
      <c r="B2650" s="25" t="s">
        <v>2661</v>
      </c>
      <c r="C2650" s="57" t="s">
        <v>1950</v>
      </c>
      <c r="E2650" s="8">
        <f>4560000/1.1</f>
        <v>4145454.545454545</v>
      </c>
      <c r="F2650" s="8">
        <f>4560000/1.1</f>
        <v>4145454.545454545</v>
      </c>
      <c r="G2650" s="125">
        <f t="shared" si="61"/>
        <v>0</v>
      </c>
      <c r="H2650" s="247"/>
    </row>
    <row r="2651" spans="1:8" ht="16.5">
      <c r="A2651" s="3">
        <f>IF(F2651="","",COUNTA($F$1249:F2651))</f>
        <v>1301</v>
      </c>
      <c r="B2651" s="25" t="s">
        <v>2662</v>
      </c>
      <c r="C2651" s="57" t="s">
        <v>1950</v>
      </c>
      <c r="E2651" s="8">
        <f>4860000/1.1</f>
        <v>4418181.818181817</v>
      </c>
      <c r="F2651" s="8">
        <f>4860000/1.1</f>
        <v>4418181.818181817</v>
      </c>
      <c r="G2651" s="125">
        <f t="shared" si="61"/>
        <v>0</v>
      </c>
      <c r="H2651" s="247"/>
    </row>
    <row r="2652" spans="1:8" ht="17.25">
      <c r="A2652" s="3">
        <f>IF(F2652="","",COUNTA($F$1249:F2652))</f>
      </c>
      <c r="B2652" s="31" t="s">
        <v>2337</v>
      </c>
      <c r="C2652" s="57"/>
      <c r="E2652" s="8"/>
      <c r="F2652" s="8"/>
      <c r="G2652" s="125" t="e">
        <f t="shared" si="61"/>
        <v>#DIV/0!</v>
      </c>
      <c r="H2652" s="247"/>
    </row>
    <row r="2653" spans="1:8" ht="16.5">
      <c r="A2653" s="3">
        <f>IF(F2653="","",COUNTA($F$1249:F2653))</f>
        <v>1302</v>
      </c>
      <c r="B2653" s="137" t="s">
        <v>2338</v>
      </c>
      <c r="C2653" s="98" t="s">
        <v>1950</v>
      </c>
      <c r="E2653" s="138">
        <v>3220000</v>
      </c>
      <c r="F2653" s="138">
        <v>3220000</v>
      </c>
      <c r="G2653" s="125">
        <f t="shared" si="61"/>
        <v>0</v>
      </c>
      <c r="H2653" s="247"/>
    </row>
    <row r="2654" spans="1:8" ht="16.5">
      <c r="A2654" s="3">
        <f>IF(F2654="","",COUNTA($F$1249:F2654))</f>
        <v>1303</v>
      </c>
      <c r="B2654" s="137" t="s">
        <v>2339</v>
      </c>
      <c r="C2654" s="98" t="s">
        <v>1950</v>
      </c>
      <c r="E2654" s="138">
        <v>3665000</v>
      </c>
      <c r="F2654" s="138">
        <v>3665000</v>
      </c>
      <c r="G2654" s="125">
        <f t="shared" si="61"/>
        <v>0</v>
      </c>
      <c r="H2654" s="247"/>
    </row>
    <row r="2655" spans="1:8" ht="16.5">
      <c r="A2655" s="3">
        <f>IF(F2655="","",COUNTA($F$1249:F2655))</f>
        <v>1304</v>
      </c>
      <c r="B2655" s="137" t="s">
        <v>2340</v>
      </c>
      <c r="C2655" s="98" t="s">
        <v>1950</v>
      </c>
      <c r="E2655" s="138">
        <v>3665000</v>
      </c>
      <c r="F2655" s="138">
        <v>3665000</v>
      </c>
      <c r="G2655" s="125">
        <f t="shared" si="61"/>
        <v>0</v>
      </c>
      <c r="H2655" s="247"/>
    </row>
    <row r="2656" spans="1:8" ht="16.5">
      <c r="A2656" s="3">
        <f>IF(F2656="","",COUNTA($F$1249:F2656))</f>
        <v>1305</v>
      </c>
      <c r="B2656" s="137" t="s">
        <v>2341</v>
      </c>
      <c r="C2656" s="98" t="s">
        <v>1950</v>
      </c>
      <c r="E2656" s="138">
        <v>3728000</v>
      </c>
      <c r="F2656" s="138">
        <v>3728000</v>
      </c>
      <c r="G2656" s="125">
        <f t="shared" si="61"/>
        <v>0</v>
      </c>
      <c r="H2656" s="247"/>
    </row>
    <row r="2657" spans="1:8" ht="16.5">
      <c r="A2657" s="3">
        <f>IF(F2657="","",COUNTA($F$1249:F2657))</f>
        <v>1306</v>
      </c>
      <c r="B2657" s="137" t="s">
        <v>2342</v>
      </c>
      <c r="C2657" s="98" t="s">
        <v>1950</v>
      </c>
      <c r="E2657" s="138">
        <v>3860000</v>
      </c>
      <c r="F2657" s="138">
        <v>3860000</v>
      </c>
      <c r="G2657" s="125">
        <f t="shared" si="61"/>
        <v>0</v>
      </c>
      <c r="H2657" s="247"/>
    </row>
    <row r="2658" spans="1:8" ht="16.5">
      <c r="A2658" s="3">
        <f>IF(F2658="","",COUNTA($F$1249:F2658))</f>
        <v>1307</v>
      </c>
      <c r="B2658" s="137" t="s">
        <v>2343</v>
      </c>
      <c r="C2658" s="98" t="s">
        <v>1950</v>
      </c>
      <c r="E2658" s="138">
        <v>4611000</v>
      </c>
      <c r="F2658" s="138">
        <v>4611000</v>
      </c>
      <c r="G2658" s="125">
        <f t="shared" si="61"/>
        <v>0</v>
      </c>
      <c r="H2658" s="247"/>
    </row>
    <row r="2659" spans="1:8" ht="16.5">
      <c r="A2659" s="3">
        <f>IF(F2659="","",COUNTA($F$1249:F2659))</f>
      </c>
      <c r="B2659" s="139" t="s">
        <v>2344</v>
      </c>
      <c r="C2659" s="98" t="s">
        <v>1950</v>
      </c>
      <c r="E2659" s="8"/>
      <c r="F2659" s="8"/>
      <c r="G2659" s="125" t="e">
        <f t="shared" si="61"/>
        <v>#DIV/0!</v>
      </c>
      <c r="H2659" s="247"/>
    </row>
    <row r="2660" spans="1:8" ht="16.5">
      <c r="A2660" s="3">
        <f>IF(F2660="","",COUNTA($F$1249:F2660))</f>
        <v>1308</v>
      </c>
      <c r="B2660" s="137" t="s">
        <v>2345</v>
      </c>
      <c r="C2660" s="98" t="s">
        <v>1950</v>
      </c>
      <c r="E2660" s="138">
        <v>3060000</v>
      </c>
      <c r="F2660" s="138">
        <v>3060000</v>
      </c>
      <c r="G2660" s="125">
        <f t="shared" si="61"/>
        <v>0</v>
      </c>
      <c r="H2660" s="247"/>
    </row>
    <row r="2661" spans="1:8" ht="16.5">
      <c r="A2661" s="3">
        <f>IF(F2661="","",COUNTA($F$1249:F2661))</f>
        <v>1309</v>
      </c>
      <c r="B2661" s="137" t="s">
        <v>2346</v>
      </c>
      <c r="C2661" s="98" t="s">
        <v>1950</v>
      </c>
      <c r="E2661" s="138">
        <v>2665000</v>
      </c>
      <c r="F2661" s="138">
        <v>2665000</v>
      </c>
      <c r="G2661" s="125">
        <f t="shared" si="61"/>
        <v>0</v>
      </c>
      <c r="H2661" s="247"/>
    </row>
    <row r="2662" spans="1:8" ht="16.5">
      <c r="A2662" s="3">
        <f>IF(F2662="","",COUNTA($F$1249:F2662))</f>
        <v>1310</v>
      </c>
      <c r="B2662" s="137" t="s">
        <v>2347</v>
      </c>
      <c r="C2662" s="98" t="s">
        <v>1950</v>
      </c>
      <c r="E2662" s="138">
        <v>2650000</v>
      </c>
      <c r="F2662" s="138">
        <v>2650000</v>
      </c>
      <c r="G2662" s="125">
        <f t="shared" si="61"/>
        <v>0</v>
      </c>
      <c r="H2662" s="247"/>
    </row>
    <row r="2663" spans="1:8" ht="16.5">
      <c r="A2663" s="3">
        <f>IF(F2663="","",COUNTA($F$1249:F2663))</f>
      </c>
      <c r="B2663" s="139" t="s">
        <v>2348</v>
      </c>
      <c r="C2663" s="98" t="s">
        <v>1950</v>
      </c>
      <c r="E2663" s="138"/>
      <c r="F2663" s="138"/>
      <c r="G2663" s="125" t="e">
        <f t="shared" si="61"/>
        <v>#DIV/0!</v>
      </c>
      <c r="H2663" s="247"/>
    </row>
    <row r="2664" spans="1:8" ht="16.5">
      <c r="A2664" s="3">
        <f>IF(F2664="","",COUNTA($F$1249:F2664))</f>
        <v>1311</v>
      </c>
      <c r="B2664" s="137" t="s">
        <v>2349</v>
      </c>
      <c r="C2664" s="98" t="s">
        <v>1950</v>
      </c>
      <c r="E2664" s="138">
        <v>2345000</v>
      </c>
      <c r="F2664" s="138">
        <v>2345000</v>
      </c>
      <c r="G2664" s="125">
        <f t="shared" si="61"/>
        <v>0</v>
      </c>
      <c r="H2664" s="247"/>
    </row>
    <row r="2665" spans="1:8" ht="16.5">
      <c r="A2665" s="3">
        <f>IF(F2665="","",COUNTA($F$1249:F2665))</f>
        <v>1312</v>
      </c>
      <c r="B2665" s="137" t="s">
        <v>2350</v>
      </c>
      <c r="C2665" s="98" t="s">
        <v>1950</v>
      </c>
      <c r="E2665" s="138">
        <v>2340000</v>
      </c>
      <c r="F2665" s="138">
        <v>2340000</v>
      </c>
      <c r="G2665" s="125">
        <f t="shared" si="61"/>
        <v>0</v>
      </c>
      <c r="H2665" s="247"/>
    </row>
    <row r="2666" spans="1:8" ht="16.5">
      <c r="A2666" s="3">
        <f>IF(F2666="","",COUNTA($F$1249:F2666))</f>
        <v>1313</v>
      </c>
      <c r="B2666" s="137" t="s">
        <v>2351</v>
      </c>
      <c r="C2666" s="98" t="s">
        <v>1950</v>
      </c>
      <c r="E2666" s="138">
        <v>2128000</v>
      </c>
      <c r="F2666" s="138">
        <v>2128000</v>
      </c>
      <c r="G2666" s="125">
        <f t="shared" si="61"/>
        <v>0</v>
      </c>
      <c r="H2666" s="247"/>
    </row>
    <row r="2667" spans="1:8" ht="16.5">
      <c r="A2667" s="3">
        <f>IF(F2667="","",COUNTA($F$1249:F2667))</f>
      </c>
      <c r="B2667" s="139" t="s">
        <v>2352</v>
      </c>
      <c r="C2667" s="98"/>
      <c r="E2667" s="138"/>
      <c r="F2667" s="138"/>
      <c r="G2667" s="125" t="e">
        <f t="shared" si="61"/>
        <v>#DIV/0!</v>
      </c>
      <c r="H2667" s="247"/>
    </row>
    <row r="2668" spans="1:8" ht="16.5">
      <c r="A2668" s="3">
        <f>IF(F2668="","",COUNTA($F$1249:F2668))</f>
        <v>1314</v>
      </c>
      <c r="B2668" s="137" t="s">
        <v>2353</v>
      </c>
      <c r="C2668" s="98" t="s">
        <v>1944</v>
      </c>
      <c r="E2668" s="138">
        <v>508000</v>
      </c>
      <c r="F2668" s="138">
        <v>508000</v>
      </c>
      <c r="G2668" s="125">
        <f t="shared" si="61"/>
        <v>0</v>
      </c>
      <c r="H2668" s="247"/>
    </row>
    <row r="2669" spans="1:8" ht="16.5">
      <c r="A2669" s="3">
        <f>IF(F2669="","",COUNTA($F$1249:F2669))</f>
        <v>1315</v>
      </c>
      <c r="B2669" s="137" t="s">
        <v>2354</v>
      </c>
      <c r="C2669" s="98" t="s">
        <v>1944</v>
      </c>
      <c r="E2669" s="138">
        <v>1307000</v>
      </c>
      <c r="F2669" s="138">
        <v>1307000</v>
      </c>
      <c r="G2669" s="125">
        <f t="shared" si="61"/>
        <v>0</v>
      </c>
      <c r="H2669" s="247"/>
    </row>
    <row r="2670" spans="1:8" ht="16.5">
      <c r="A2670" s="3">
        <f>IF(F2670="","",COUNTA($F$1249:F2670))</f>
        <v>1316</v>
      </c>
      <c r="B2670" s="137" t="s">
        <v>2355</v>
      </c>
      <c r="C2670" s="98" t="s">
        <v>1944</v>
      </c>
      <c r="E2670" s="138">
        <v>932000</v>
      </c>
      <c r="F2670" s="138">
        <v>932000</v>
      </c>
      <c r="G2670" s="125">
        <f t="shared" si="61"/>
        <v>0</v>
      </c>
      <c r="H2670" s="247"/>
    </row>
    <row r="2671" spans="1:8" ht="16.5">
      <c r="A2671" s="3">
        <f>IF(F2671="","",COUNTA($F$1249:F2671))</f>
        <v>1317</v>
      </c>
      <c r="B2671" s="137" t="s">
        <v>2356</v>
      </c>
      <c r="C2671" s="98" t="s">
        <v>1944</v>
      </c>
      <c r="E2671" s="138">
        <v>1126000</v>
      </c>
      <c r="F2671" s="138">
        <v>1126000</v>
      </c>
      <c r="G2671" s="125">
        <f t="shared" si="61"/>
        <v>0</v>
      </c>
      <c r="H2671" s="247"/>
    </row>
    <row r="2672" spans="1:8" ht="16.5">
      <c r="A2672" s="3">
        <f>IF(F2672="","",COUNTA($F$1249:F2672))</f>
        <v>1318</v>
      </c>
      <c r="B2672" s="137" t="s">
        <v>2357</v>
      </c>
      <c r="C2672" s="98" t="s">
        <v>1950</v>
      </c>
      <c r="E2672" s="138">
        <v>1398000</v>
      </c>
      <c r="F2672" s="138">
        <v>1398000</v>
      </c>
      <c r="G2672" s="125">
        <f t="shared" si="61"/>
        <v>0</v>
      </c>
      <c r="H2672" s="247"/>
    </row>
    <row r="2673" spans="1:8" ht="16.5">
      <c r="A2673" s="3">
        <f>IF(F2673="","",COUNTA($F$1249:F2673))</f>
        <v>1319</v>
      </c>
      <c r="B2673" s="137" t="s">
        <v>2358</v>
      </c>
      <c r="C2673" s="98" t="s">
        <v>1950</v>
      </c>
      <c r="E2673" s="138">
        <v>1175000</v>
      </c>
      <c r="F2673" s="138">
        <v>1175000</v>
      </c>
      <c r="G2673" s="125">
        <f t="shared" si="61"/>
        <v>0</v>
      </c>
      <c r="H2673" s="247"/>
    </row>
    <row r="2674" spans="1:8" ht="16.5">
      <c r="A2674" s="3">
        <f>IF(F2674="","",COUNTA($F$1249:F2674))</f>
        <v>1320</v>
      </c>
      <c r="B2674" s="137" t="s">
        <v>2359</v>
      </c>
      <c r="C2674" s="98" t="s">
        <v>1950</v>
      </c>
      <c r="E2674" s="138">
        <v>1134000</v>
      </c>
      <c r="F2674" s="138">
        <v>1134000</v>
      </c>
      <c r="G2674" s="125">
        <f t="shared" si="61"/>
        <v>0</v>
      </c>
      <c r="H2674" s="247"/>
    </row>
    <row r="2675" spans="1:8" ht="16.5">
      <c r="A2675" s="3">
        <f>IF(F2675="","",COUNTA($F$1249:F2675))</f>
      </c>
      <c r="B2675" s="139" t="s">
        <v>2360</v>
      </c>
      <c r="C2675" s="98"/>
      <c r="E2675" s="138"/>
      <c r="F2675" s="138"/>
      <c r="G2675" s="125" t="e">
        <f t="shared" si="61"/>
        <v>#DIV/0!</v>
      </c>
      <c r="H2675" s="247"/>
    </row>
    <row r="2676" spans="1:8" ht="16.5">
      <c r="A2676" s="3">
        <f>IF(F2676="","",COUNTA($F$1249:F2676))</f>
        <v>1321</v>
      </c>
      <c r="B2676" s="137" t="s">
        <v>2361</v>
      </c>
      <c r="C2676" s="98" t="s">
        <v>1944</v>
      </c>
      <c r="E2676" s="138">
        <v>508000</v>
      </c>
      <c r="F2676" s="138">
        <v>508000</v>
      </c>
      <c r="G2676" s="125">
        <f t="shared" si="61"/>
        <v>0</v>
      </c>
      <c r="H2676" s="247"/>
    </row>
    <row r="2677" spans="1:8" ht="16.5">
      <c r="A2677" s="3">
        <f>IF(F2677="","",COUNTA($F$1249:F2677))</f>
        <v>1322</v>
      </c>
      <c r="B2677" s="137" t="s">
        <v>2362</v>
      </c>
      <c r="C2677" s="98" t="s">
        <v>1944</v>
      </c>
      <c r="E2677" s="138">
        <v>1238000</v>
      </c>
      <c r="F2677" s="138">
        <v>1238000</v>
      </c>
      <c r="G2677" s="125">
        <f t="shared" si="61"/>
        <v>0</v>
      </c>
      <c r="H2677" s="247"/>
    </row>
    <row r="2678" spans="1:8" ht="16.5">
      <c r="A2678" s="3">
        <f>IF(F2678="","",COUNTA($F$1249:F2678))</f>
        <v>1323</v>
      </c>
      <c r="B2678" s="137" t="s">
        <v>2363</v>
      </c>
      <c r="C2678" s="98" t="s">
        <v>1944</v>
      </c>
      <c r="E2678" s="138">
        <v>1760000</v>
      </c>
      <c r="F2678" s="138">
        <v>1760000</v>
      </c>
      <c r="G2678" s="125">
        <f t="shared" si="61"/>
        <v>0</v>
      </c>
      <c r="H2678" s="247"/>
    </row>
    <row r="2679" spans="1:8" ht="16.5">
      <c r="A2679" s="3">
        <f>IF(F2679="","",COUNTA($F$1249:F2679))</f>
        <v>1324</v>
      </c>
      <c r="B2679" s="137" t="s">
        <v>2364</v>
      </c>
      <c r="C2679" s="98" t="s">
        <v>1944</v>
      </c>
      <c r="E2679" s="138">
        <v>1975000</v>
      </c>
      <c r="F2679" s="138">
        <v>1975000</v>
      </c>
      <c r="G2679" s="125">
        <f t="shared" si="61"/>
        <v>0</v>
      </c>
      <c r="H2679" s="247"/>
    </row>
    <row r="2680" spans="1:8" ht="16.5">
      <c r="A2680" s="3">
        <f>IF(F2680="","",COUNTA($F$1249:F2680))</f>
        <v>1325</v>
      </c>
      <c r="B2680" s="137" t="s">
        <v>2365</v>
      </c>
      <c r="C2680" s="98" t="s">
        <v>1944</v>
      </c>
      <c r="E2680" s="138">
        <v>988000</v>
      </c>
      <c r="F2680" s="138">
        <v>988000</v>
      </c>
      <c r="G2680" s="125">
        <f aca="true" t="shared" si="62" ref="G2680:G2718">(E2680-F2680)/E2680</f>
        <v>0</v>
      </c>
      <c r="H2680" s="247"/>
    </row>
    <row r="2681" spans="1:8" ht="16.5">
      <c r="A2681" s="3">
        <f>IF(F2681="","",COUNTA($F$1249:F2681))</f>
      </c>
      <c r="B2681" s="139" t="s">
        <v>2366</v>
      </c>
      <c r="C2681" s="98" t="s">
        <v>1944</v>
      </c>
      <c r="E2681" s="138"/>
      <c r="F2681" s="138"/>
      <c r="G2681" s="125" t="e">
        <f t="shared" si="62"/>
        <v>#DIV/0!</v>
      </c>
      <c r="H2681" s="247"/>
    </row>
    <row r="2682" spans="1:8" ht="16.5">
      <c r="A2682" s="3">
        <f>IF(F2682="","",COUNTA($F$1249:F2682))</f>
        <v>1326</v>
      </c>
      <c r="B2682" s="137" t="s">
        <v>2367</v>
      </c>
      <c r="C2682" s="98" t="s">
        <v>1944</v>
      </c>
      <c r="E2682" s="138">
        <v>508000</v>
      </c>
      <c r="F2682" s="138">
        <v>508000</v>
      </c>
      <c r="G2682" s="125">
        <f t="shared" si="62"/>
        <v>0</v>
      </c>
      <c r="H2682" s="247"/>
    </row>
    <row r="2683" spans="1:8" ht="16.5">
      <c r="A2683" s="3">
        <f>IF(F2683="","",COUNTA($F$1249:F2683))</f>
        <v>1327</v>
      </c>
      <c r="B2683" s="137" t="s">
        <v>2368</v>
      </c>
      <c r="C2683" s="98" t="s">
        <v>1944</v>
      </c>
      <c r="E2683" s="138">
        <v>1482000</v>
      </c>
      <c r="F2683" s="138">
        <v>1482000</v>
      </c>
      <c r="G2683" s="125">
        <f t="shared" si="62"/>
        <v>0</v>
      </c>
      <c r="H2683" s="247"/>
    </row>
    <row r="2684" spans="1:8" ht="16.5">
      <c r="A2684" s="3">
        <f>IF(F2684="","",COUNTA($F$1249:F2684))</f>
      </c>
      <c r="B2684" s="139" t="s">
        <v>2369</v>
      </c>
      <c r="C2684" s="98" t="s">
        <v>1944</v>
      </c>
      <c r="E2684" s="138"/>
      <c r="F2684" s="138"/>
      <c r="G2684" s="125" t="e">
        <f t="shared" si="62"/>
        <v>#DIV/0!</v>
      </c>
      <c r="H2684" s="247"/>
    </row>
    <row r="2685" spans="1:8" ht="16.5">
      <c r="A2685" s="3">
        <f>IF(F2685="","",COUNTA($F$1249:F2685))</f>
        <v>1328</v>
      </c>
      <c r="B2685" s="137" t="s">
        <v>2370</v>
      </c>
      <c r="C2685" s="98" t="s">
        <v>1944</v>
      </c>
      <c r="E2685" s="138">
        <v>2352000</v>
      </c>
      <c r="F2685" s="138">
        <v>2352000</v>
      </c>
      <c r="G2685" s="125">
        <f t="shared" si="62"/>
        <v>0</v>
      </c>
      <c r="H2685" s="247"/>
    </row>
    <row r="2686" spans="1:8" ht="16.5">
      <c r="A2686" s="3">
        <f>IF(F2686="","",COUNTA($F$1249:F2686))</f>
        <v>1329</v>
      </c>
      <c r="B2686" s="137" t="s">
        <v>2371</v>
      </c>
      <c r="C2686" s="98" t="s">
        <v>1944</v>
      </c>
      <c r="E2686" s="138">
        <v>2380000</v>
      </c>
      <c r="F2686" s="138">
        <v>2380000</v>
      </c>
      <c r="G2686" s="125">
        <f t="shared" si="62"/>
        <v>0</v>
      </c>
      <c r="H2686" s="247"/>
    </row>
    <row r="2687" spans="1:8" ht="16.5">
      <c r="A2687" s="3">
        <f>IF(F2687="","",COUNTA($F$1249:F2687))</f>
      </c>
      <c r="B2687" s="139" t="s">
        <v>2372</v>
      </c>
      <c r="C2687" s="98" t="s">
        <v>1944</v>
      </c>
      <c r="E2687" s="138"/>
      <c r="F2687" s="138"/>
      <c r="G2687" s="125" t="e">
        <f t="shared" si="62"/>
        <v>#DIV/0!</v>
      </c>
      <c r="H2687" s="247"/>
    </row>
    <row r="2688" spans="1:8" ht="16.5">
      <c r="A2688" s="3">
        <f>IF(F2688="","",COUNTA($F$1249:F2688))</f>
        <v>1330</v>
      </c>
      <c r="B2688" s="137" t="s">
        <v>2373</v>
      </c>
      <c r="C2688" s="98" t="s">
        <v>1944</v>
      </c>
      <c r="E2688" s="138">
        <v>3372000</v>
      </c>
      <c r="F2688" s="138">
        <v>3372000</v>
      </c>
      <c r="G2688" s="125">
        <f t="shared" si="62"/>
        <v>0</v>
      </c>
      <c r="H2688" s="247"/>
    </row>
    <row r="2689" spans="1:8" ht="16.5">
      <c r="A2689" s="3">
        <f>IF(F2689="","",COUNTA($F$1249:F2689))</f>
        <v>1331</v>
      </c>
      <c r="B2689" s="137" t="s">
        <v>2374</v>
      </c>
      <c r="C2689" s="98" t="s">
        <v>1944</v>
      </c>
      <c r="E2689" s="138">
        <v>4987000</v>
      </c>
      <c r="F2689" s="138">
        <v>4987000</v>
      </c>
      <c r="G2689" s="125">
        <f t="shared" si="62"/>
        <v>0</v>
      </c>
      <c r="H2689" s="247"/>
    </row>
    <row r="2690" spans="1:8" ht="16.5">
      <c r="A2690" s="3">
        <f>IF(F2690="","",COUNTA($F$1249:F2690))</f>
        <v>1332</v>
      </c>
      <c r="B2690" s="137" t="s">
        <v>2375</v>
      </c>
      <c r="C2690" s="98" t="s">
        <v>1944</v>
      </c>
      <c r="E2690" s="138">
        <v>3642000</v>
      </c>
      <c r="F2690" s="138">
        <v>3642000</v>
      </c>
      <c r="G2690" s="125">
        <f t="shared" si="62"/>
        <v>0</v>
      </c>
      <c r="H2690" s="247"/>
    </row>
    <row r="2691" spans="1:8" ht="16.5">
      <c r="A2691" s="3">
        <f>IF(F2691="","",COUNTA($F$1249:F2691))</f>
        <v>1333</v>
      </c>
      <c r="B2691" s="137" t="s">
        <v>2376</v>
      </c>
      <c r="C2691" s="98" t="s">
        <v>1944</v>
      </c>
      <c r="E2691" s="138">
        <v>4916000</v>
      </c>
      <c r="F2691" s="138">
        <v>4916000</v>
      </c>
      <c r="G2691" s="125">
        <f t="shared" si="62"/>
        <v>0</v>
      </c>
      <c r="H2691" s="247"/>
    </row>
    <row r="2692" spans="1:8" ht="33">
      <c r="A2692" s="3">
        <f>IF(F2692="","",COUNTA($F$1249:F2692))</f>
      </c>
      <c r="B2692" s="139" t="s">
        <v>2377</v>
      </c>
      <c r="C2692" s="98" t="s">
        <v>1944</v>
      </c>
      <c r="E2692" s="138"/>
      <c r="F2692" s="138"/>
      <c r="G2692" s="125" t="e">
        <f t="shared" si="62"/>
        <v>#DIV/0!</v>
      </c>
      <c r="H2692" s="247"/>
    </row>
    <row r="2693" spans="1:8" ht="16.5">
      <c r="A2693" s="3">
        <f>IF(F2693="","",COUNTA($F$1249:F2693))</f>
        <v>1334</v>
      </c>
      <c r="B2693" s="137" t="s">
        <v>2378</v>
      </c>
      <c r="C2693" s="98" t="s">
        <v>1944</v>
      </c>
      <c r="E2693" s="138">
        <v>752000</v>
      </c>
      <c r="F2693" s="138">
        <v>752000</v>
      </c>
      <c r="G2693" s="125">
        <f t="shared" si="62"/>
        <v>0</v>
      </c>
      <c r="H2693" s="247"/>
    </row>
    <row r="2694" spans="1:8" ht="16.5">
      <c r="A2694" s="3">
        <f>IF(F2694="","",COUNTA($F$1249:F2694))</f>
        <v>1335</v>
      </c>
      <c r="B2694" s="137" t="s">
        <v>2379</v>
      </c>
      <c r="C2694" s="98" t="s">
        <v>1944</v>
      </c>
      <c r="E2694" s="138">
        <v>737000</v>
      </c>
      <c r="F2694" s="138">
        <v>737000</v>
      </c>
      <c r="G2694" s="125">
        <f t="shared" si="62"/>
        <v>0</v>
      </c>
      <c r="H2694" s="247"/>
    </row>
    <row r="2695" spans="1:8" ht="16.5">
      <c r="A2695" s="3">
        <f>IF(F2695="","",COUNTA($F$1249:F2695))</f>
        <v>1336</v>
      </c>
      <c r="B2695" s="137" t="s">
        <v>2380</v>
      </c>
      <c r="C2695" s="98" t="s">
        <v>1944</v>
      </c>
      <c r="E2695" s="138">
        <v>1176000</v>
      </c>
      <c r="F2695" s="138">
        <v>1176000</v>
      </c>
      <c r="G2695" s="125">
        <f t="shared" si="62"/>
        <v>0</v>
      </c>
      <c r="H2695" s="247"/>
    </row>
    <row r="2696" spans="1:8" ht="16.5">
      <c r="A2696" s="3">
        <f>IF(F2696="","",COUNTA($F$1249:F2696))</f>
        <v>1337</v>
      </c>
      <c r="B2696" s="137" t="s">
        <v>2381</v>
      </c>
      <c r="C2696" s="98" t="s">
        <v>1944</v>
      </c>
      <c r="E2696" s="138">
        <v>965000</v>
      </c>
      <c r="F2696" s="138">
        <v>965000</v>
      </c>
      <c r="G2696" s="125">
        <f t="shared" si="62"/>
        <v>0</v>
      </c>
      <c r="H2696" s="247"/>
    </row>
    <row r="2697" spans="1:8" ht="16.5">
      <c r="A2697" s="3">
        <f>IF(F2697="","",COUNTA($F$1249:F2697))</f>
        <v>1338</v>
      </c>
      <c r="B2697" s="137" t="s">
        <v>2382</v>
      </c>
      <c r="C2697" s="98" t="s">
        <v>1944</v>
      </c>
      <c r="E2697" s="138">
        <v>765000</v>
      </c>
      <c r="F2697" s="138">
        <v>765000</v>
      </c>
      <c r="G2697" s="125">
        <f t="shared" si="62"/>
        <v>0</v>
      </c>
      <c r="H2697" s="247"/>
    </row>
    <row r="2698" spans="1:8" ht="16.5">
      <c r="A2698" s="3">
        <f>IF(F2698="","",COUNTA($F$1249:F2698))</f>
        <v>1339</v>
      </c>
      <c r="B2698" s="137" t="s">
        <v>2383</v>
      </c>
      <c r="C2698" s="98" t="s">
        <v>1944</v>
      </c>
      <c r="E2698" s="138">
        <v>1320000</v>
      </c>
      <c r="F2698" s="138">
        <v>1320000</v>
      </c>
      <c r="G2698" s="125">
        <f t="shared" si="62"/>
        <v>0</v>
      </c>
      <c r="H2698" s="247"/>
    </row>
    <row r="2699" spans="1:8" ht="16.5">
      <c r="A2699" s="3">
        <f>IF(F2699="","",COUNTA($F$1249:F2699))</f>
        <v>1340</v>
      </c>
      <c r="B2699" s="137" t="s">
        <v>2384</v>
      </c>
      <c r="C2699" s="98" t="s">
        <v>1944</v>
      </c>
      <c r="E2699" s="138">
        <v>2196000</v>
      </c>
      <c r="F2699" s="138">
        <v>2196000</v>
      </c>
      <c r="G2699" s="125">
        <f t="shared" si="62"/>
        <v>0</v>
      </c>
      <c r="H2699" s="247"/>
    </row>
    <row r="2700" spans="1:8" ht="16.5">
      <c r="A2700" s="3">
        <f>IF(F2700="","",COUNTA($F$1249:F2700))</f>
        <v>1341</v>
      </c>
      <c r="B2700" s="137" t="s">
        <v>2385</v>
      </c>
      <c r="C2700" s="98" t="s">
        <v>1944</v>
      </c>
      <c r="E2700" s="138">
        <v>1490000</v>
      </c>
      <c r="F2700" s="138">
        <v>1490000</v>
      </c>
      <c r="G2700" s="125">
        <f t="shared" si="62"/>
        <v>0</v>
      </c>
      <c r="H2700" s="247"/>
    </row>
    <row r="2701" spans="1:8" ht="16.5">
      <c r="A2701" s="3">
        <f>IF(F2701="","",COUNTA($F$1249:F2701))</f>
        <v>1342</v>
      </c>
      <c r="B2701" s="137" t="s">
        <v>2386</v>
      </c>
      <c r="C2701" s="98" t="s">
        <v>1944</v>
      </c>
      <c r="E2701" s="138">
        <v>1941000</v>
      </c>
      <c r="F2701" s="138">
        <v>1941000</v>
      </c>
      <c r="G2701" s="125">
        <f t="shared" si="62"/>
        <v>0</v>
      </c>
      <c r="H2701" s="247"/>
    </row>
    <row r="2702" spans="1:8" ht="16.5">
      <c r="A2702" s="3">
        <f>IF(F2702="","",COUNTA($F$1249:F2702))</f>
        <v>1343</v>
      </c>
      <c r="B2702" s="137" t="s">
        <v>2387</v>
      </c>
      <c r="C2702" s="98" t="s">
        <v>1944</v>
      </c>
      <c r="E2702" s="138">
        <v>1077000</v>
      </c>
      <c r="F2702" s="138">
        <v>1077000</v>
      </c>
      <c r="G2702" s="125">
        <f t="shared" si="62"/>
        <v>0</v>
      </c>
      <c r="H2702" s="247"/>
    </row>
    <row r="2703" spans="1:8" ht="16.5">
      <c r="A2703" s="3">
        <f>IF(F2703="","",COUNTA($F$1249:F2703))</f>
        <v>1344</v>
      </c>
      <c r="B2703" s="137" t="s">
        <v>2388</v>
      </c>
      <c r="C2703" s="98" t="s">
        <v>1944</v>
      </c>
      <c r="E2703" s="138">
        <v>1771000</v>
      </c>
      <c r="F2703" s="138">
        <v>1771000</v>
      </c>
      <c r="G2703" s="125">
        <f t="shared" si="62"/>
        <v>0</v>
      </c>
      <c r="H2703" s="247"/>
    </row>
    <row r="2704" spans="1:8" ht="16.5">
      <c r="A2704" s="3">
        <f>IF(F2704="","",COUNTA($F$1249:F2704))</f>
        <v>1345</v>
      </c>
      <c r="B2704" s="137" t="s">
        <v>2389</v>
      </c>
      <c r="C2704" s="98" t="s">
        <v>1944</v>
      </c>
      <c r="E2704" s="138">
        <v>1105000</v>
      </c>
      <c r="F2704" s="138">
        <v>1105000</v>
      </c>
      <c r="G2704" s="125">
        <f t="shared" si="62"/>
        <v>0</v>
      </c>
      <c r="H2704" s="247"/>
    </row>
    <row r="2705" spans="1:8" ht="16.5">
      <c r="A2705" s="3">
        <f>IF(F2705="","",COUNTA($F$1249:F2705))</f>
      </c>
      <c r="B2705" s="139" t="s">
        <v>2366</v>
      </c>
      <c r="C2705" s="98" t="s">
        <v>1944</v>
      </c>
      <c r="E2705" s="138"/>
      <c r="F2705" s="138"/>
      <c r="G2705" s="125" t="e">
        <f t="shared" si="62"/>
        <v>#DIV/0!</v>
      </c>
      <c r="H2705" s="247"/>
    </row>
    <row r="2706" spans="1:8" ht="16.5">
      <c r="A2706" s="3">
        <f>IF(F2706="","",COUNTA($F$1249:F2706))</f>
        <v>1346</v>
      </c>
      <c r="B2706" s="137" t="s">
        <v>2390</v>
      </c>
      <c r="C2706" s="98" t="s">
        <v>1944</v>
      </c>
      <c r="E2706" s="138">
        <v>950000</v>
      </c>
      <c r="F2706" s="138">
        <v>950000</v>
      </c>
      <c r="G2706" s="125">
        <f t="shared" si="62"/>
        <v>0</v>
      </c>
      <c r="H2706" s="247"/>
    </row>
    <row r="2707" spans="1:8" ht="16.5">
      <c r="A2707" s="3">
        <f>IF(F2707="","",COUNTA($F$1249:F2707))</f>
        <v>1347</v>
      </c>
      <c r="B2707" s="137" t="s">
        <v>2391</v>
      </c>
      <c r="C2707" s="98" t="s">
        <v>1944</v>
      </c>
      <c r="E2707" s="138">
        <v>1077000</v>
      </c>
      <c r="F2707" s="138">
        <v>1077000</v>
      </c>
      <c r="G2707" s="125">
        <f t="shared" si="62"/>
        <v>0</v>
      </c>
      <c r="H2707" s="247"/>
    </row>
    <row r="2708" spans="1:8" ht="16.5">
      <c r="A2708" s="3">
        <f>IF(F2708="","",COUNTA($F$1249:F2708))</f>
        <v>1348</v>
      </c>
      <c r="B2708" s="137" t="s">
        <v>2392</v>
      </c>
      <c r="C2708" s="98" t="s">
        <v>1944</v>
      </c>
      <c r="E2708" s="138">
        <v>230000</v>
      </c>
      <c r="F2708" s="138">
        <v>230000</v>
      </c>
      <c r="G2708" s="125">
        <f t="shared" si="62"/>
        <v>0</v>
      </c>
      <c r="H2708" s="247"/>
    </row>
    <row r="2709" spans="1:8" ht="16.5">
      <c r="A2709" s="3">
        <f>IF(F2709="","",COUNTA($F$1249:F2709))</f>
        <v>1349</v>
      </c>
      <c r="B2709" s="137" t="s">
        <v>2393</v>
      </c>
      <c r="C2709" s="98" t="s">
        <v>1944</v>
      </c>
      <c r="E2709" s="138">
        <v>298000</v>
      </c>
      <c r="F2709" s="138">
        <v>298000</v>
      </c>
      <c r="G2709" s="125">
        <f t="shared" si="62"/>
        <v>0</v>
      </c>
      <c r="H2709" s="247"/>
    </row>
    <row r="2710" spans="1:8" ht="16.5">
      <c r="A2710" s="3">
        <f>IF(F2710="","",COUNTA($F$1249:F2710))</f>
      </c>
      <c r="B2710" s="139" t="s">
        <v>2394</v>
      </c>
      <c r="C2710" s="98" t="s">
        <v>1944</v>
      </c>
      <c r="E2710" s="138"/>
      <c r="F2710" s="138"/>
      <c r="G2710" s="125" t="e">
        <f t="shared" si="62"/>
        <v>#DIV/0!</v>
      </c>
      <c r="H2710" s="247"/>
    </row>
    <row r="2711" spans="1:8" ht="16.5">
      <c r="A2711" s="3">
        <f>IF(F2711="","",COUNTA($F$1249:F2711))</f>
        <v>1350</v>
      </c>
      <c r="B2711" s="137" t="s">
        <v>2395</v>
      </c>
      <c r="C2711" s="98" t="s">
        <v>1944</v>
      </c>
      <c r="E2711" s="138">
        <v>482000</v>
      </c>
      <c r="F2711" s="138">
        <v>482000</v>
      </c>
      <c r="G2711" s="125">
        <f t="shared" si="62"/>
        <v>0</v>
      </c>
      <c r="H2711" s="247"/>
    </row>
    <row r="2712" spans="1:8" ht="16.5">
      <c r="A2712" s="3">
        <f>IF(F2712="","",COUNTA($F$1249:F2712))</f>
        <v>1351</v>
      </c>
      <c r="B2712" s="137" t="s">
        <v>2396</v>
      </c>
      <c r="C2712" s="98" t="s">
        <v>1944</v>
      </c>
      <c r="E2712" s="138">
        <v>213000</v>
      </c>
      <c r="F2712" s="138">
        <v>213000</v>
      </c>
      <c r="G2712" s="125">
        <f t="shared" si="62"/>
        <v>0</v>
      </c>
      <c r="H2712" s="247"/>
    </row>
    <row r="2713" spans="1:8" ht="16.5">
      <c r="A2713" s="3">
        <f>IF(F2713="","",COUNTA($F$1249:F2713))</f>
        <v>1352</v>
      </c>
      <c r="B2713" s="137" t="s">
        <v>2397</v>
      </c>
      <c r="C2713" s="98" t="s">
        <v>1944</v>
      </c>
      <c r="E2713" s="138">
        <v>255000</v>
      </c>
      <c r="F2713" s="138">
        <v>255000</v>
      </c>
      <c r="G2713" s="125">
        <f t="shared" si="62"/>
        <v>0</v>
      </c>
      <c r="H2713" s="247"/>
    </row>
    <row r="2714" spans="1:8" ht="16.5">
      <c r="A2714" s="3">
        <f>IF(F2714="","",COUNTA($F$1249:F2714))</f>
        <v>1353</v>
      </c>
      <c r="B2714" s="137" t="s">
        <v>2398</v>
      </c>
      <c r="C2714" s="98" t="s">
        <v>1944</v>
      </c>
      <c r="E2714" s="138">
        <v>505000</v>
      </c>
      <c r="F2714" s="138">
        <v>505000</v>
      </c>
      <c r="G2714" s="125">
        <f t="shared" si="62"/>
        <v>0</v>
      </c>
      <c r="H2714" s="247"/>
    </row>
    <row r="2715" spans="1:8" ht="16.5">
      <c r="A2715" s="3">
        <f>IF(F2715="","",COUNTA($F$1249:F2715))</f>
        <v>1354</v>
      </c>
      <c r="B2715" s="137" t="s">
        <v>2399</v>
      </c>
      <c r="C2715" s="98" t="s">
        <v>1944</v>
      </c>
      <c r="E2715" s="138">
        <v>505000</v>
      </c>
      <c r="F2715" s="138">
        <v>505000</v>
      </c>
      <c r="G2715" s="125">
        <f t="shared" si="62"/>
        <v>0</v>
      </c>
      <c r="H2715" s="247"/>
    </row>
    <row r="2716" spans="1:8" ht="16.5">
      <c r="A2716" s="3">
        <f>IF(F2716="","",COUNTA($F$1249:F2716))</f>
        <v>1355</v>
      </c>
      <c r="B2716" s="137" t="s">
        <v>2400</v>
      </c>
      <c r="C2716" s="98" t="s">
        <v>1944</v>
      </c>
      <c r="E2716" s="138">
        <v>505000</v>
      </c>
      <c r="F2716" s="138">
        <v>505000</v>
      </c>
      <c r="G2716" s="125">
        <f t="shared" si="62"/>
        <v>0</v>
      </c>
      <c r="H2716" s="247"/>
    </row>
    <row r="2717" spans="1:8" ht="16.5">
      <c r="A2717" s="3">
        <f>IF(F2717="","",COUNTA($F$1249:F2717))</f>
        <v>1356</v>
      </c>
      <c r="B2717" s="137" t="s">
        <v>2401</v>
      </c>
      <c r="C2717" s="98" t="s">
        <v>1944</v>
      </c>
      <c r="E2717" s="138">
        <v>415000</v>
      </c>
      <c r="F2717" s="138">
        <v>415000</v>
      </c>
      <c r="G2717" s="125">
        <f t="shared" si="62"/>
        <v>0</v>
      </c>
      <c r="H2717" s="247"/>
    </row>
    <row r="2718" spans="1:8" ht="16.5">
      <c r="A2718" s="3">
        <f>IF(F2718="","",COUNTA($F$1249:F2718))</f>
        <v>1357</v>
      </c>
      <c r="B2718" s="137" t="s">
        <v>2402</v>
      </c>
      <c r="C2718" s="98" t="s">
        <v>1944</v>
      </c>
      <c r="E2718" s="138">
        <v>685000</v>
      </c>
      <c r="F2718" s="138">
        <v>685000</v>
      </c>
      <c r="G2718" s="125">
        <f t="shared" si="62"/>
        <v>0</v>
      </c>
      <c r="H2718" s="247"/>
    </row>
    <row r="2719" spans="1:8" ht="16.5">
      <c r="A2719" s="3">
        <f>IF(F2719="","",COUNTA($F$1249:F2719))</f>
      </c>
      <c r="B2719" s="139" t="s">
        <v>2403</v>
      </c>
      <c r="C2719" s="98"/>
      <c r="E2719" s="138"/>
      <c r="F2719" s="138"/>
      <c r="G2719" s="125"/>
      <c r="H2719" s="247"/>
    </row>
    <row r="2720" spans="1:8" ht="16.5">
      <c r="A2720" s="3">
        <f>IF(F2720="","",COUNTA($F$1249:F2720))</f>
        <v>1358</v>
      </c>
      <c r="B2720" s="137" t="s">
        <v>2404</v>
      </c>
      <c r="C2720" s="98" t="s">
        <v>1950</v>
      </c>
      <c r="E2720" s="138">
        <v>1487000</v>
      </c>
      <c r="F2720" s="138">
        <v>1487000</v>
      </c>
      <c r="G2720" s="125">
        <f>(E2720-F2720)/E2720</f>
        <v>0</v>
      </c>
      <c r="H2720" s="247"/>
    </row>
    <row r="2721" spans="1:8" ht="16.5">
      <c r="A2721" s="3">
        <f>IF(E2721="","",COUNTA($E$1249:E2721))</f>
        <v>1359</v>
      </c>
      <c r="B2721" s="137" t="s">
        <v>2405</v>
      </c>
      <c r="C2721" s="98" t="s">
        <v>1950</v>
      </c>
      <c r="E2721" s="138">
        <v>795000</v>
      </c>
      <c r="F2721" s="138">
        <v>795000</v>
      </c>
      <c r="G2721" s="125">
        <f>(E2721-F2721)/E2721</f>
        <v>0</v>
      </c>
      <c r="H2721" s="247"/>
    </row>
    <row r="2722" spans="1:9" s="149" customFormat="1" ht="17.25">
      <c r="A2722" s="3">
        <f>IF(E2722="","",COUNTA($E$1249:E2722))</f>
      </c>
      <c r="B2722" s="146" t="s">
        <v>411</v>
      </c>
      <c r="C2722" s="98"/>
      <c r="D2722" s="103"/>
      <c r="E2722" s="147"/>
      <c r="F2722" s="147"/>
      <c r="G2722" s="148"/>
      <c r="H2722" s="231" t="s">
        <v>415</v>
      </c>
      <c r="I2722" s="231" t="s">
        <v>3271</v>
      </c>
    </row>
    <row r="2723" spans="1:9" s="149" customFormat="1" ht="16.5">
      <c r="A2723" s="3">
        <f>IF(E2723="","",COUNTA($E$1249:E2723))</f>
        <v>1360</v>
      </c>
      <c r="B2723" s="150" t="s">
        <v>412</v>
      </c>
      <c r="C2723" s="98" t="s">
        <v>697</v>
      </c>
      <c r="D2723" s="256" t="s">
        <v>416</v>
      </c>
      <c r="E2723" s="147">
        <v>900000</v>
      </c>
      <c r="F2723" s="180">
        <v>900000</v>
      </c>
      <c r="G2723" s="148">
        <f>(E2723-F2723)/E2723</f>
        <v>0</v>
      </c>
      <c r="H2723" s="232"/>
      <c r="I2723" s="232"/>
    </row>
    <row r="2724" spans="1:9" s="149" customFormat="1" ht="16.5">
      <c r="A2724" s="3">
        <f>IF(E2724="","",COUNTA($E$1249:E2724))</f>
        <v>1361</v>
      </c>
      <c r="B2724" s="150" t="s">
        <v>413</v>
      </c>
      <c r="C2724" s="98" t="s">
        <v>697</v>
      </c>
      <c r="D2724" s="257"/>
      <c r="E2724" s="147">
        <v>1200000</v>
      </c>
      <c r="F2724" s="180">
        <v>1200000</v>
      </c>
      <c r="G2724" s="148">
        <f>(E2724-F2724)/E2724</f>
        <v>0</v>
      </c>
      <c r="H2724" s="232"/>
      <c r="I2724" s="232"/>
    </row>
    <row r="2725" spans="1:9" s="149" customFormat="1" ht="16.5">
      <c r="A2725" s="3">
        <f>IF(E2725="","",COUNTA($E$1249:E2725))</f>
        <v>1362</v>
      </c>
      <c r="B2725" s="150" t="s">
        <v>414</v>
      </c>
      <c r="C2725" s="98" t="s">
        <v>697</v>
      </c>
      <c r="D2725" s="258"/>
      <c r="E2725" s="147">
        <v>1500000</v>
      </c>
      <c r="F2725" s="180">
        <v>1500000</v>
      </c>
      <c r="G2725" s="148">
        <f>(E2725-F2725)/E2725</f>
        <v>0</v>
      </c>
      <c r="H2725" s="233"/>
      <c r="I2725" s="233"/>
    </row>
    <row r="2726" spans="1:8" ht="16.5">
      <c r="A2726" s="19" t="s">
        <v>388</v>
      </c>
      <c r="B2726" s="34" t="s">
        <v>1508</v>
      </c>
      <c r="C2726" s="57"/>
      <c r="E2726" s="13"/>
      <c r="F2726" s="13"/>
      <c r="G2726" s="125"/>
      <c r="H2726" s="105"/>
    </row>
    <row r="2727" spans="1:8" ht="17.25" customHeight="1">
      <c r="A2727" s="3">
        <f>IF(E2727="","",COUNTA($E2727:E$2727))</f>
      </c>
      <c r="B2727" s="31" t="s">
        <v>407</v>
      </c>
      <c r="C2727" s="57"/>
      <c r="E2727" s="6"/>
      <c r="F2727" s="6"/>
      <c r="G2727" s="125"/>
      <c r="H2727" s="247" t="s">
        <v>408</v>
      </c>
    </row>
    <row r="2728" spans="1:8" ht="33">
      <c r="A2728" s="151"/>
      <c r="B2728" s="152" t="s">
        <v>2855</v>
      </c>
      <c r="C2728" s="153"/>
      <c r="E2728" s="6"/>
      <c r="F2728" s="6"/>
      <c r="G2728" s="125"/>
      <c r="H2728" s="247"/>
    </row>
    <row r="2729" spans="1:8" ht="16.5">
      <c r="A2729" s="3">
        <f>IF(E2729="","",COUNTA($E$2729:E2729))</f>
        <v>1</v>
      </c>
      <c r="B2729" s="154" t="s">
        <v>2856</v>
      </c>
      <c r="C2729" s="153" t="s">
        <v>2977</v>
      </c>
      <c r="D2729" s="153" t="s">
        <v>2982</v>
      </c>
      <c r="E2729" s="223">
        <v>2450</v>
      </c>
      <c r="F2729" s="181">
        <v>2450</v>
      </c>
      <c r="G2729" s="148">
        <f aca="true" t="shared" si="63" ref="G2729:G2792">(E2729-F2729)/E2729</f>
        <v>0</v>
      </c>
      <c r="H2729" s="247"/>
    </row>
    <row r="2730" spans="1:8" ht="16.5">
      <c r="A2730" s="3">
        <f>IF(E2730="","",COUNTA($E$2729:E2730))</f>
        <v>2</v>
      </c>
      <c r="B2730" s="154" t="s">
        <v>2857</v>
      </c>
      <c r="C2730" s="153" t="s">
        <v>2977</v>
      </c>
      <c r="D2730" s="153" t="s">
        <v>2982</v>
      </c>
      <c r="E2730" s="223">
        <v>4070</v>
      </c>
      <c r="F2730" s="181">
        <v>4070</v>
      </c>
      <c r="G2730" s="148">
        <f t="shared" si="63"/>
        <v>0</v>
      </c>
      <c r="H2730" s="247"/>
    </row>
    <row r="2731" spans="1:8" ht="33">
      <c r="A2731" s="3">
        <f>IF(E2731="","",COUNTA($E$2729:E2731))</f>
      </c>
      <c r="B2731" s="152" t="s">
        <v>2858</v>
      </c>
      <c r="C2731" s="155"/>
      <c r="D2731" s="156"/>
      <c r="E2731" s="224"/>
      <c r="F2731" s="182"/>
      <c r="G2731" s="148"/>
      <c r="H2731" s="247"/>
    </row>
    <row r="2732" spans="1:8" ht="16.5">
      <c r="A2732" s="3">
        <f>IF(E2732="","",COUNTA($E$2729:E2732))</f>
        <v>3</v>
      </c>
      <c r="B2732" s="154" t="s">
        <v>2859</v>
      </c>
      <c r="C2732" s="153" t="s">
        <v>2977</v>
      </c>
      <c r="D2732" s="153" t="s">
        <v>2983</v>
      </c>
      <c r="E2732" s="223">
        <v>4660</v>
      </c>
      <c r="F2732" s="181">
        <v>4660</v>
      </c>
      <c r="G2732" s="148">
        <f t="shared" si="63"/>
        <v>0</v>
      </c>
      <c r="H2732" s="247"/>
    </row>
    <row r="2733" spans="1:8" ht="16.5">
      <c r="A2733" s="3">
        <f>IF(E2733="","",COUNTA($E$2729:E2733))</f>
        <v>4</v>
      </c>
      <c r="B2733" s="154" t="s">
        <v>2860</v>
      </c>
      <c r="C2733" s="153" t="s">
        <v>2977</v>
      </c>
      <c r="D2733" s="153" t="s">
        <v>2983</v>
      </c>
      <c r="E2733" s="223">
        <v>6570</v>
      </c>
      <c r="F2733" s="181">
        <v>6570</v>
      </c>
      <c r="G2733" s="148">
        <f t="shared" si="63"/>
        <v>0</v>
      </c>
      <c r="H2733" s="247"/>
    </row>
    <row r="2734" spans="1:8" ht="16.5">
      <c r="A2734" s="3">
        <f>IF(E2734="","",COUNTA($E$2729:E2734))</f>
        <v>5</v>
      </c>
      <c r="B2734" s="154" t="s">
        <v>2861</v>
      </c>
      <c r="C2734" s="153" t="s">
        <v>2977</v>
      </c>
      <c r="D2734" s="153" t="s">
        <v>2983</v>
      </c>
      <c r="E2734" s="223">
        <v>8430</v>
      </c>
      <c r="F2734" s="181">
        <v>8430</v>
      </c>
      <c r="G2734" s="148">
        <f t="shared" si="63"/>
        <v>0</v>
      </c>
      <c r="H2734" s="247"/>
    </row>
    <row r="2735" spans="1:8" ht="16.5">
      <c r="A2735" s="3">
        <f>IF(E2735="","",COUNTA($E$2729:E2735))</f>
        <v>6</v>
      </c>
      <c r="B2735" s="154" t="s">
        <v>2862</v>
      </c>
      <c r="C2735" s="153" t="s">
        <v>2977</v>
      </c>
      <c r="D2735" s="153" t="s">
        <v>2983</v>
      </c>
      <c r="E2735" s="223">
        <v>12000</v>
      </c>
      <c r="F2735" s="181">
        <v>12000</v>
      </c>
      <c r="G2735" s="148">
        <f t="shared" si="63"/>
        <v>0</v>
      </c>
      <c r="H2735" s="247"/>
    </row>
    <row r="2736" spans="1:8" ht="16.5">
      <c r="A2736" s="3">
        <f>IF(E2736="","",COUNTA($E$2729:E2736))</f>
        <v>7</v>
      </c>
      <c r="B2736" s="154" t="s">
        <v>2863</v>
      </c>
      <c r="C2736" s="153" t="s">
        <v>2977</v>
      </c>
      <c r="D2736" s="153" t="s">
        <v>2983</v>
      </c>
      <c r="E2736" s="223">
        <v>19460</v>
      </c>
      <c r="F2736" s="181">
        <v>19460</v>
      </c>
      <c r="G2736" s="148">
        <f t="shared" si="63"/>
        <v>0</v>
      </c>
      <c r="H2736" s="247"/>
    </row>
    <row r="2737" spans="1:8" ht="33">
      <c r="A2737" s="3">
        <f>IF(E2737="","",COUNTA($E$2729:E2737))</f>
      </c>
      <c r="B2737" s="152" t="s">
        <v>2864</v>
      </c>
      <c r="C2737" s="155"/>
      <c r="D2737" s="156"/>
      <c r="E2737" s="224"/>
      <c r="F2737" s="182"/>
      <c r="G2737" s="148"/>
      <c r="H2737" s="247"/>
    </row>
    <row r="2738" spans="1:8" ht="16.5">
      <c r="A2738" s="3">
        <f>IF(E2738="","",COUNTA($E$2729:E2738))</f>
        <v>8</v>
      </c>
      <c r="B2738" s="154" t="s">
        <v>2865</v>
      </c>
      <c r="C2738" s="153" t="s">
        <v>2977</v>
      </c>
      <c r="D2738" s="153" t="s">
        <v>2984</v>
      </c>
      <c r="E2738" s="223">
        <v>9680</v>
      </c>
      <c r="F2738" s="181">
        <v>9680</v>
      </c>
      <c r="G2738" s="148">
        <f t="shared" si="63"/>
        <v>0</v>
      </c>
      <c r="H2738" s="247"/>
    </row>
    <row r="2739" spans="1:8" ht="16.5">
      <c r="A2739" s="3">
        <f>IF(E2739="","",COUNTA($E$2729:E2739))</f>
        <v>9</v>
      </c>
      <c r="B2739" s="154" t="s">
        <v>2866</v>
      </c>
      <c r="C2739" s="153" t="s">
        <v>2977</v>
      </c>
      <c r="D2739" s="153" t="s">
        <v>2984</v>
      </c>
      <c r="E2739" s="223">
        <v>13640</v>
      </c>
      <c r="F2739" s="181">
        <v>13640</v>
      </c>
      <c r="G2739" s="148">
        <f t="shared" si="63"/>
        <v>0</v>
      </c>
      <c r="H2739" s="247"/>
    </row>
    <row r="2740" spans="1:8" ht="16.5">
      <c r="A2740" s="3">
        <f>IF(E2740="","",COUNTA($E$2729:E2740))</f>
        <v>10</v>
      </c>
      <c r="B2740" s="154" t="s">
        <v>2867</v>
      </c>
      <c r="C2740" s="153" t="s">
        <v>2977</v>
      </c>
      <c r="D2740" s="153" t="s">
        <v>2984</v>
      </c>
      <c r="E2740" s="223">
        <v>49610</v>
      </c>
      <c r="F2740" s="181">
        <v>49610</v>
      </c>
      <c r="G2740" s="148">
        <f t="shared" si="63"/>
        <v>0</v>
      </c>
      <c r="H2740" s="247"/>
    </row>
    <row r="2741" spans="1:8" ht="33">
      <c r="A2741" s="3">
        <f>IF(E2741="","",COUNTA($E$2729:E2741))</f>
      </c>
      <c r="B2741" s="152" t="s">
        <v>2868</v>
      </c>
      <c r="C2741" s="155"/>
      <c r="D2741" s="156"/>
      <c r="E2741" s="224"/>
      <c r="F2741" s="182"/>
      <c r="G2741" s="148"/>
      <c r="H2741" s="247"/>
    </row>
    <row r="2742" spans="1:8" ht="16.5">
      <c r="A2742" s="3">
        <f>IF(E2742="","",COUNTA($E$2729:E2742))</f>
        <v>11</v>
      </c>
      <c r="B2742" s="154" t="s">
        <v>2869</v>
      </c>
      <c r="C2742" s="153" t="s">
        <v>2977</v>
      </c>
      <c r="D2742" s="153" t="s">
        <v>2983</v>
      </c>
      <c r="E2742" s="223">
        <v>6240</v>
      </c>
      <c r="F2742" s="181">
        <v>6240</v>
      </c>
      <c r="G2742" s="148">
        <f t="shared" si="63"/>
        <v>0</v>
      </c>
      <c r="H2742" s="247"/>
    </row>
    <row r="2743" spans="1:8" ht="16.5">
      <c r="A2743" s="3">
        <f>IF(E2743="","",COUNTA($E$2729:E2743))</f>
        <v>12</v>
      </c>
      <c r="B2743" s="154" t="s">
        <v>2870</v>
      </c>
      <c r="C2743" s="153" t="s">
        <v>2977</v>
      </c>
      <c r="D2743" s="153" t="s">
        <v>2983</v>
      </c>
      <c r="E2743" s="223">
        <v>10180</v>
      </c>
      <c r="F2743" s="181">
        <v>10180</v>
      </c>
      <c r="G2743" s="148">
        <f t="shared" si="63"/>
        <v>0</v>
      </c>
      <c r="H2743" s="247"/>
    </row>
    <row r="2744" spans="1:8" ht="16.5">
      <c r="A2744" s="3">
        <f>IF(E2744="","",COUNTA($E$2729:E2744))</f>
        <v>13</v>
      </c>
      <c r="B2744" s="154" t="s">
        <v>2871</v>
      </c>
      <c r="C2744" s="153" t="s">
        <v>2977</v>
      </c>
      <c r="D2744" s="153" t="s">
        <v>2983</v>
      </c>
      <c r="E2744" s="223">
        <v>37460</v>
      </c>
      <c r="F2744" s="181">
        <v>37460</v>
      </c>
      <c r="G2744" s="148">
        <f t="shared" si="63"/>
        <v>0</v>
      </c>
      <c r="H2744" s="247"/>
    </row>
    <row r="2745" spans="1:8" ht="16.5">
      <c r="A2745" s="3">
        <f>IF(E2745="","",COUNTA($E$2729:E2745))</f>
        <v>14</v>
      </c>
      <c r="B2745" s="154" t="s">
        <v>2872</v>
      </c>
      <c r="C2745" s="153" t="s">
        <v>2977</v>
      </c>
      <c r="D2745" s="153" t="s">
        <v>2983</v>
      </c>
      <c r="E2745" s="223">
        <v>169310</v>
      </c>
      <c r="F2745" s="181">
        <v>169310</v>
      </c>
      <c r="G2745" s="148">
        <f t="shared" si="63"/>
        <v>0</v>
      </c>
      <c r="H2745" s="247"/>
    </row>
    <row r="2746" spans="1:8" ht="16.5">
      <c r="A2746" s="3">
        <f>IF(E2746="","",COUNTA($E$2729:E2746))</f>
        <v>15</v>
      </c>
      <c r="B2746" s="154" t="s">
        <v>2873</v>
      </c>
      <c r="C2746" s="153" t="s">
        <v>2977</v>
      </c>
      <c r="D2746" s="153" t="s">
        <v>2983</v>
      </c>
      <c r="E2746" s="223">
        <v>850730</v>
      </c>
      <c r="F2746" s="181">
        <v>850730</v>
      </c>
      <c r="G2746" s="148">
        <f t="shared" si="63"/>
        <v>0</v>
      </c>
      <c r="H2746" s="247"/>
    </row>
    <row r="2747" spans="1:8" ht="16.5">
      <c r="A2747" s="3">
        <f>IF(E2747="","",COUNTA($E$2729:E2747))</f>
        <v>16</v>
      </c>
      <c r="B2747" s="154" t="s">
        <v>2874</v>
      </c>
      <c r="C2747" s="153" t="s">
        <v>2977</v>
      </c>
      <c r="D2747" s="153" t="s">
        <v>2983</v>
      </c>
      <c r="E2747" s="223">
        <v>1067060</v>
      </c>
      <c r="F2747" s="181">
        <v>1067060</v>
      </c>
      <c r="G2747" s="148">
        <f t="shared" si="63"/>
        <v>0</v>
      </c>
      <c r="H2747" s="247"/>
    </row>
    <row r="2748" spans="1:8" ht="33">
      <c r="A2748" s="3">
        <f>IF(E2748="","",COUNTA($E$2729:E2748))</f>
      </c>
      <c r="B2748" s="152" t="s">
        <v>2875</v>
      </c>
      <c r="C2748" s="155"/>
      <c r="D2748" s="156"/>
      <c r="E2748" s="224"/>
      <c r="F2748" s="182"/>
      <c r="G2748" s="148"/>
      <c r="H2748" s="247"/>
    </row>
    <row r="2749" spans="1:8" ht="16.5">
      <c r="A2749" s="3">
        <f>IF(E2749="","",COUNTA($E$2729:E2749))</f>
        <v>17</v>
      </c>
      <c r="B2749" s="154" t="s">
        <v>2876</v>
      </c>
      <c r="C2749" s="153" t="s">
        <v>2977</v>
      </c>
      <c r="D2749" s="153" t="s">
        <v>2985</v>
      </c>
      <c r="E2749" s="223">
        <v>6990</v>
      </c>
      <c r="F2749" s="181">
        <v>6990</v>
      </c>
      <c r="G2749" s="148">
        <f t="shared" si="63"/>
        <v>0</v>
      </c>
      <c r="H2749" s="247"/>
    </row>
    <row r="2750" spans="1:8" ht="16.5">
      <c r="A2750" s="3">
        <f>IF(E2750="","",COUNTA($E$2729:E2750))</f>
        <v>18</v>
      </c>
      <c r="B2750" s="154" t="s">
        <v>2877</v>
      </c>
      <c r="C2750" s="153" t="s">
        <v>2977</v>
      </c>
      <c r="D2750" s="153" t="s">
        <v>2985</v>
      </c>
      <c r="E2750" s="223">
        <v>9010</v>
      </c>
      <c r="F2750" s="181">
        <v>9010</v>
      </c>
      <c r="G2750" s="148">
        <f t="shared" si="63"/>
        <v>0</v>
      </c>
      <c r="H2750" s="247"/>
    </row>
    <row r="2751" spans="1:8" ht="16.5">
      <c r="A2751" s="3">
        <f>IF(E2751="","",COUNTA($E$2729:E2751))</f>
        <v>19</v>
      </c>
      <c r="B2751" s="154" t="s">
        <v>2878</v>
      </c>
      <c r="C2751" s="153" t="s">
        <v>2977</v>
      </c>
      <c r="D2751" s="153" t="s">
        <v>2985</v>
      </c>
      <c r="E2751" s="223">
        <v>26550</v>
      </c>
      <c r="F2751" s="181">
        <v>26550</v>
      </c>
      <c r="G2751" s="148">
        <f t="shared" si="63"/>
        <v>0</v>
      </c>
      <c r="H2751" s="247"/>
    </row>
    <row r="2752" spans="1:8" ht="16.5">
      <c r="A2752" s="3">
        <f>IF(E2752="","",COUNTA($E$2729:E2752))</f>
        <v>20</v>
      </c>
      <c r="B2752" s="154" t="s">
        <v>2879</v>
      </c>
      <c r="C2752" s="153" t="s">
        <v>2977</v>
      </c>
      <c r="D2752" s="153" t="s">
        <v>2985</v>
      </c>
      <c r="E2752" s="223">
        <v>95400</v>
      </c>
      <c r="F2752" s="181">
        <v>95400</v>
      </c>
      <c r="G2752" s="148">
        <f t="shared" si="63"/>
        <v>0</v>
      </c>
      <c r="H2752" s="247"/>
    </row>
    <row r="2753" spans="1:8" ht="16.5">
      <c r="A2753" s="3">
        <f>IF(E2753="","",COUNTA($E$2729:E2753))</f>
        <v>21</v>
      </c>
      <c r="B2753" s="154" t="s">
        <v>2880</v>
      </c>
      <c r="C2753" s="153" t="s">
        <v>2977</v>
      </c>
      <c r="D2753" s="153" t="s">
        <v>2985</v>
      </c>
      <c r="E2753" s="223">
        <v>176740</v>
      </c>
      <c r="F2753" s="181">
        <v>176740</v>
      </c>
      <c r="G2753" s="148">
        <f t="shared" si="63"/>
        <v>0</v>
      </c>
      <c r="H2753" s="247"/>
    </row>
    <row r="2754" spans="1:8" ht="16.5">
      <c r="A2754" s="3">
        <f>IF(E2754="","",COUNTA($E$2729:E2754))</f>
        <v>22</v>
      </c>
      <c r="B2754" s="154" t="s">
        <v>2881</v>
      </c>
      <c r="C2754" s="153" t="s">
        <v>2977</v>
      </c>
      <c r="D2754" s="153" t="s">
        <v>2985</v>
      </c>
      <c r="E2754" s="223">
        <v>345150</v>
      </c>
      <c r="F2754" s="181">
        <v>345150</v>
      </c>
      <c r="G2754" s="148">
        <f t="shared" si="63"/>
        <v>0</v>
      </c>
      <c r="H2754" s="247"/>
    </row>
    <row r="2755" spans="1:8" ht="16.5">
      <c r="A2755" s="3">
        <f>IF(E2755="","",COUNTA($E$2729:E2755))</f>
        <v>23</v>
      </c>
      <c r="B2755" s="154" t="s">
        <v>2882</v>
      </c>
      <c r="C2755" s="153" t="s">
        <v>2977</v>
      </c>
      <c r="D2755" s="153" t="s">
        <v>2985</v>
      </c>
      <c r="E2755" s="223">
        <v>533930</v>
      </c>
      <c r="F2755" s="181">
        <v>533930</v>
      </c>
      <c r="G2755" s="148">
        <f t="shared" si="63"/>
        <v>0</v>
      </c>
      <c r="H2755" s="247"/>
    </row>
    <row r="2756" spans="1:8" ht="49.5">
      <c r="A2756" s="3">
        <f>IF(E2756="","",COUNTA($E$2729:E2756))</f>
      </c>
      <c r="B2756" s="152" t="s">
        <v>2883</v>
      </c>
      <c r="C2756" s="155"/>
      <c r="D2756" s="156"/>
      <c r="E2756" s="224"/>
      <c r="F2756" s="182"/>
      <c r="G2756" s="148"/>
      <c r="H2756" s="247"/>
    </row>
    <row r="2757" spans="1:8" ht="16.5">
      <c r="A2757" s="3">
        <f>IF(E2757="","",COUNTA($E$2729:E2757))</f>
        <v>24</v>
      </c>
      <c r="B2757" s="154" t="s">
        <v>2884</v>
      </c>
      <c r="C2757" s="153" t="s">
        <v>2977</v>
      </c>
      <c r="D2757" s="153" t="s">
        <v>2986</v>
      </c>
      <c r="E2757" s="223">
        <v>20040</v>
      </c>
      <c r="F2757" s="181">
        <v>20040</v>
      </c>
      <c r="G2757" s="148">
        <f t="shared" si="63"/>
        <v>0</v>
      </c>
      <c r="H2757" s="247"/>
    </row>
    <row r="2758" spans="1:8" ht="16.5">
      <c r="A2758" s="3">
        <f>IF(E2758="","",COUNTA($E$2729:E2758))</f>
        <v>25</v>
      </c>
      <c r="B2758" s="154" t="s">
        <v>2885</v>
      </c>
      <c r="C2758" s="153" t="s">
        <v>2977</v>
      </c>
      <c r="D2758" s="153" t="s">
        <v>2986</v>
      </c>
      <c r="E2758" s="223">
        <v>42530</v>
      </c>
      <c r="F2758" s="181">
        <v>42530</v>
      </c>
      <c r="G2758" s="148">
        <f t="shared" si="63"/>
        <v>0</v>
      </c>
      <c r="H2758" s="247"/>
    </row>
    <row r="2759" spans="1:8" ht="16.5">
      <c r="A2759" s="3">
        <f>IF(E2759="","",COUNTA($E$2729:E2759))</f>
        <v>26</v>
      </c>
      <c r="B2759" s="154" t="s">
        <v>2886</v>
      </c>
      <c r="C2759" s="153" t="s">
        <v>2977</v>
      </c>
      <c r="D2759" s="153" t="s">
        <v>2986</v>
      </c>
      <c r="E2759" s="223">
        <v>94840</v>
      </c>
      <c r="F2759" s="181">
        <v>94840</v>
      </c>
      <c r="G2759" s="148">
        <f t="shared" si="63"/>
        <v>0</v>
      </c>
      <c r="H2759" s="247"/>
    </row>
    <row r="2760" spans="1:8" ht="49.5">
      <c r="A2760" s="3">
        <f>IF(E2760="","",COUNTA($E$2729:E2760))</f>
      </c>
      <c r="B2760" s="152" t="s">
        <v>2887</v>
      </c>
      <c r="C2760" s="155"/>
      <c r="D2760" s="156"/>
      <c r="E2760" s="224"/>
      <c r="F2760" s="182"/>
      <c r="G2760" s="148"/>
      <c r="H2760" s="247"/>
    </row>
    <row r="2761" spans="1:8" ht="16.5">
      <c r="A2761" s="3">
        <f>IF(E2761="","",COUNTA($E$2729:E2761))</f>
        <v>27</v>
      </c>
      <c r="B2761" s="154" t="s">
        <v>2888</v>
      </c>
      <c r="C2761" s="153" t="s">
        <v>2977</v>
      </c>
      <c r="D2761" s="153" t="s">
        <v>2986</v>
      </c>
      <c r="E2761" s="225">
        <v>26440</v>
      </c>
      <c r="F2761" s="183">
        <v>26440</v>
      </c>
      <c r="G2761" s="148">
        <f t="shared" si="63"/>
        <v>0</v>
      </c>
      <c r="H2761" s="247"/>
    </row>
    <row r="2762" spans="1:8" ht="16.5">
      <c r="A2762" s="3">
        <f>IF(E2762="","",COUNTA($E$2729:E2762))</f>
        <v>28</v>
      </c>
      <c r="B2762" s="154" t="s">
        <v>2889</v>
      </c>
      <c r="C2762" s="153" t="s">
        <v>2977</v>
      </c>
      <c r="D2762" s="153" t="s">
        <v>2986</v>
      </c>
      <c r="E2762" s="225">
        <v>39150</v>
      </c>
      <c r="F2762" s="183">
        <v>39150</v>
      </c>
      <c r="G2762" s="148">
        <f t="shared" si="63"/>
        <v>0</v>
      </c>
      <c r="H2762" s="247"/>
    </row>
    <row r="2763" spans="1:8" ht="16.5">
      <c r="A2763" s="3">
        <f>IF(E2763="","",COUNTA($E$2729:E2763))</f>
        <v>29</v>
      </c>
      <c r="B2763" s="154" t="s">
        <v>2890</v>
      </c>
      <c r="C2763" s="153" t="s">
        <v>2977</v>
      </c>
      <c r="D2763" s="153" t="s">
        <v>2986</v>
      </c>
      <c r="E2763" s="225">
        <v>81680</v>
      </c>
      <c r="F2763" s="183">
        <v>81680</v>
      </c>
      <c r="G2763" s="148">
        <f t="shared" si="63"/>
        <v>0</v>
      </c>
      <c r="H2763" s="247"/>
    </row>
    <row r="2764" spans="1:8" ht="49.5">
      <c r="A2764" s="3">
        <f>IF(E2764="","",COUNTA($E$2729:E2764))</f>
      </c>
      <c r="B2764" s="152" t="s">
        <v>2891</v>
      </c>
      <c r="C2764" s="155"/>
      <c r="D2764" s="156"/>
      <c r="E2764" s="224"/>
      <c r="F2764" s="182"/>
      <c r="G2764" s="148"/>
      <c r="H2764" s="247"/>
    </row>
    <row r="2765" spans="1:8" ht="16.5">
      <c r="A2765" s="3">
        <f>IF(E2765="","",COUNTA($E$2729:E2765))</f>
        <v>30</v>
      </c>
      <c r="B2765" s="154" t="s">
        <v>2892</v>
      </c>
      <c r="C2765" s="153" t="s">
        <v>2977</v>
      </c>
      <c r="D2765" s="153" t="s">
        <v>2986</v>
      </c>
      <c r="E2765" s="223">
        <v>33640</v>
      </c>
      <c r="F2765" s="181">
        <v>33640</v>
      </c>
      <c r="G2765" s="148">
        <f t="shared" si="63"/>
        <v>0</v>
      </c>
      <c r="H2765" s="247"/>
    </row>
    <row r="2766" spans="1:8" ht="16.5">
      <c r="A2766" s="3">
        <f>IF(E2766="","",COUNTA($E$2729:E2766))</f>
        <v>31</v>
      </c>
      <c r="B2766" s="154" t="s">
        <v>2893</v>
      </c>
      <c r="C2766" s="153" t="s">
        <v>2977</v>
      </c>
      <c r="D2766" s="153" t="s">
        <v>2986</v>
      </c>
      <c r="E2766" s="223">
        <v>49840</v>
      </c>
      <c r="F2766" s="181">
        <v>49840</v>
      </c>
      <c r="G2766" s="148">
        <f t="shared" si="63"/>
        <v>0</v>
      </c>
      <c r="H2766" s="247"/>
    </row>
    <row r="2767" spans="1:8" ht="49.5">
      <c r="A2767" s="3">
        <f>IF(E2767="","",COUNTA($E$2729:E2767))</f>
      </c>
      <c r="B2767" s="152" t="s">
        <v>2894</v>
      </c>
      <c r="C2767" s="155"/>
      <c r="D2767" s="156"/>
      <c r="E2767" s="224"/>
      <c r="F2767" s="182"/>
      <c r="G2767" s="148"/>
      <c r="H2767" s="247"/>
    </row>
    <row r="2768" spans="1:8" ht="16.5">
      <c r="A2768" s="3">
        <f>IF(E2768="","",COUNTA($E$2729:E2768))</f>
        <v>32</v>
      </c>
      <c r="B2768" s="154" t="s">
        <v>2895</v>
      </c>
      <c r="C2768" s="153" t="s">
        <v>2977</v>
      </c>
      <c r="D2768" s="153" t="s">
        <v>2987</v>
      </c>
      <c r="E2768" s="223">
        <v>147040</v>
      </c>
      <c r="F2768" s="181">
        <v>147040</v>
      </c>
      <c r="G2768" s="148">
        <f t="shared" si="63"/>
        <v>0</v>
      </c>
      <c r="H2768" s="247"/>
    </row>
    <row r="2769" spans="1:8" ht="16.5">
      <c r="A2769" s="3">
        <f>IF(E2769="","",COUNTA($E$2729:E2769))</f>
        <v>33</v>
      </c>
      <c r="B2769" s="154" t="s">
        <v>2896</v>
      </c>
      <c r="C2769" s="153" t="s">
        <v>2977</v>
      </c>
      <c r="D2769" s="153" t="s">
        <v>2987</v>
      </c>
      <c r="E2769" s="223">
        <v>213190</v>
      </c>
      <c r="F2769" s="181">
        <v>213190</v>
      </c>
      <c r="G2769" s="148">
        <f t="shared" si="63"/>
        <v>0</v>
      </c>
      <c r="H2769" s="247"/>
    </row>
    <row r="2770" spans="1:8" ht="16.5">
      <c r="A2770" s="3">
        <f>IF(E2770="","",COUNTA($E$2729:E2770))</f>
        <v>34</v>
      </c>
      <c r="B2770" s="154" t="s">
        <v>2897</v>
      </c>
      <c r="C2770" s="153" t="s">
        <v>2977</v>
      </c>
      <c r="D2770" s="153" t="s">
        <v>2987</v>
      </c>
      <c r="E2770" s="223">
        <v>1116000</v>
      </c>
      <c r="F2770" s="181">
        <v>1116000</v>
      </c>
      <c r="G2770" s="148">
        <f t="shared" si="63"/>
        <v>0</v>
      </c>
      <c r="H2770" s="247"/>
    </row>
    <row r="2771" spans="1:8" ht="16.5">
      <c r="A2771" s="3">
        <f>IF(E2771="","",COUNTA($E$2729:E2771))</f>
        <v>35</v>
      </c>
      <c r="B2771" s="154" t="s">
        <v>2898</v>
      </c>
      <c r="C2771" s="153" t="s">
        <v>2977</v>
      </c>
      <c r="D2771" s="153" t="s">
        <v>2987</v>
      </c>
      <c r="E2771" s="223">
        <v>1389150</v>
      </c>
      <c r="F2771" s="181">
        <v>1389150</v>
      </c>
      <c r="G2771" s="148">
        <f t="shared" si="63"/>
        <v>0</v>
      </c>
      <c r="H2771" s="247"/>
    </row>
    <row r="2772" spans="1:8" ht="49.5">
      <c r="A2772" s="3">
        <f>IF(E2772="","",COUNTA($E$2729:E2772))</f>
      </c>
      <c r="B2772" s="152" t="s">
        <v>2899</v>
      </c>
      <c r="C2772" s="155"/>
      <c r="D2772" s="156"/>
      <c r="E2772" s="224"/>
      <c r="F2772" s="182"/>
      <c r="G2772" s="148"/>
      <c r="H2772" s="247"/>
    </row>
    <row r="2773" spans="1:8" ht="16.5">
      <c r="A2773" s="3">
        <f>IF(E2773="","",COUNTA($E$2729:E2773))</f>
        <v>36</v>
      </c>
      <c r="B2773" s="154" t="s">
        <v>2900</v>
      </c>
      <c r="C2773" s="153" t="s">
        <v>2977</v>
      </c>
      <c r="D2773" s="153" t="s">
        <v>2987</v>
      </c>
      <c r="E2773" s="223">
        <v>203510</v>
      </c>
      <c r="F2773" s="181">
        <v>203510</v>
      </c>
      <c r="G2773" s="148">
        <f t="shared" si="63"/>
        <v>0</v>
      </c>
      <c r="H2773" s="247"/>
    </row>
    <row r="2774" spans="1:8" ht="16.5">
      <c r="A2774" s="3">
        <f>IF(E2774="","",COUNTA($E$2729:E2774))</f>
        <v>37</v>
      </c>
      <c r="B2774" s="154" t="s">
        <v>2901</v>
      </c>
      <c r="C2774" s="153" t="s">
        <v>2977</v>
      </c>
      <c r="D2774" s="153" t="s">
        <v>2987</v>
      </c>
      <c r="E2774" s="223">
        <v>548330</v>
      </c>
      <c r="F2774" s="181">
        <v>548330</v>
      </c>
      <c r="G2774" s="148">
        <f t="shared" si="63"/>
        <v>0</v>
      </c>
      <c r="H2774" s="247"/>
    </row>
    <row r="2775" spans="1:8" ht="16.5">
      <c r="A2775" s="3">
        <f>IF(E2775="","",COUNTA($E$2729:E2775))</f>
        <v>38</v>
      </c>
      <c r="B2775" s="154" t="s">
        <v>2902</v>
      </c>
      <c r="C2775" s="153" t="s">
        <v>2977</v>
      </c>
      <c r="D2775" s="153" t="s">
        <v>2987</v>
      </c>
      <c r="E2775" s="223">
        <v>1065710</v>
      </c>
      <c r="F2775" s="181">
        <v>1065710</v>
      </c>
      <c r="G2775" s="148">
        <f t="shared" si="63"/>
        <v>0</v>
      </c>
      <c r="H2775" s="247"/>
    </row>
    <row r="2776" spans="1:8" ht="16.5">
      <c r="A2776" s="3">
        <f>IF(E2776="","",COUNTA($E$2729:E2776))</f>
        <v>39</v>
      </c>
      <c r="B2776" s="154" t="s">
        <v>2903</v>
      </c>
      <c r="C2776" s="153" t="s">
        <v>2977</v>
      </c>
      <c r="D2776" s="153" t="s">
        <v>2987</v>
      </c>
      <c r="E2776" s="223">
        <v>1379590</v>
      </c>
      <c r="F2776" s="181">
        <v>1379590</v>
      </c>
      <c r="G2776" s="148">
        <f t="shared" si="63"/>
        <v>0</v>
      </c>
      <c r="H2776" s="247"/>
    </row>
    <row r="2777" spans="1:8" ht="33">
      <c r="A2777" s="3">
        <f>IF(E2777="","",COUNTA($E$2729:E2777))</f>
      </c>
      <c r="B2777" s="152" t="s">
        <v>2904</v>
      </c>
      <c r="C2777" s="155"/>
      <c r="D2777" s="156"/>
      <c r="E2777" s="224"/>
      <c r="F2777" s="182"/>
      <c r="G2777" s="148"/>
      <c r="H2777" s="247"/>
    </row>
    <row r="2778" spans="1:8" ht="16.5">
      <c r="A2778" s="3">
        <f>IF(E2778="","",COUNTA($E$2729:E2778))</f>
        <v>40</v>
      </c>
      <c r="B2778" s="154" t="s">
        <v>2905</v>
      </c>
      <c r="C2778" s="153" t="s">
        <v>2977</v>
      </c>
      <c r="D2778" s="153" t="s">
        <v>2985</v>
      </c>
      <c r="E2778" s="223">
        <v>261230</v>
      </c>
      <c r="F2778" s="181">
        <v>261230</v>
      </c>
      <c r="G2778" s="148">
        <f t="shared" si="63"/>
        <v>0</v>
      </c>
      <c r="H2778" s="247"/>
    </row>
    <row r="2779" spans="1:8" ht="16.5">
      <c r="A2779" s="3">
        <f>IF(E2779="","",COUNTA($E$2729:E2779))</f>
        <v>41</v>
      </c>
      <c r="B2779" s="154" t="s">
        <v>2906</v>
      </c>
      <c r="C2779" s="153" t="s">
        <v>2977</v>
      </c>
      <c r="D2779" s="153" t="s">
        <v>2985</v>
      </c>
      <c r="E2779" s="223">
        <v>395210</v>
      </c>
      <c r="F2779" s="181">
        <v>395210</v>
      </c>
      <c r="G2779" s="148">
        <f t="shared" si="63"/>
        <v>0</v>
      </c>
      <c r="H2779" s="247"/>
    </row>
    <row r="2780" spans="1:8" ht="16.5">
      <c r="A2780" s="3">
        <f>IF(E2780="","",COUNTA($E$2729:E2780))</f>
        <v>42</v>
      </c>
      <c r="B2780" s="154" t="s">
        <v>2907</v>
      </c>
      <c r="C2780" s="153" t="s">
        <v>2977</v>
      </c>
      <c r="D2780" s="153" t="s">
        <v>2985</v>
      </c>
      <c r="E2780" s="223">
        <v>722480</v>
      </c>
      <c r="F2780" s="181">
        <v>722480</v>
      </c>
      <c r="G2780" s="148">
        <f t="shared" si="63"/>
        <v>0</v>
      </c>
      <c r="H2780" s="247"/>
    </row>
    <row r="2781" spans="1:8" ht="16.5">
      <c r="A2781" s="3">
        <f>IF(E2781="","",COUNTA($E$2729:E2781))</f>
        <v>43</v>
      </c>
      <c r="B2781" s="154" t="s">
        <v>2908</v>
      </c>
      <c r="C2781" s="153" t="s">
        <v>2977</v>
      </c>
      <c r="D2781" s="153" t="s">
        <v>2985</v>
      </c>
      <c r="E2781" s="223">
        <v>1827790</v>
      </c>
      <c r="F2781" s="181">
        <v>1827790</v>
      </c>
      <c r="G2781" s="148">
        <f t="shared" si="63"/>
        <v>0</v>
      </c>
      <c r="H2781" s="247"/>
    </row>
    <row r="2782" spans="1:8" ht="16.5">
      <c r="A2782" s="3">
        <f>IF(E2782="","",COUNTA($E$2729:E2782))</f>
        <v>44</v>
      </c>
      <c r="B2782" s="154" t="s">
        <v>2909</v>
      </c>
      <c r="C2782" s="153" t="s">
        <v>2977</v>
      </c>
      <c r="D2782" s="153" t="s">
        <v>2985</v>
      </c>
      <c r="E2782" s="223">
        <v>2716430</v>
      </c>
      <c r="F2782" s="181">
        <v>2716430</v>
      </c>
      <c r="G2782" s="148">
        <f t="shared" si="63"/>
        <v>0</v>
      </c>
      <c r="H2782" s="247"/>
    </row>
    <row r="2783" spans="1:8" ht="49.5">
      <c r="A2783" s="3">
        <f>IF(E2783="","",COUNTA($E$2729:E2783))</f>
      </c>
      <c r="B2783" s="152" t="s">
        <v>2910</v>
      </c>
      <c r="C2783" s="155"/>
      <c r="D2783" s="156"/>
      <c r="E2783" s="226"/>
      <c r="F2783" s="184"/>
      <c r="G2783" s="148"/>
      <c r="H2783" s="247"/>
    </row>
    <row r="2784" spans="1:8" ht="16.5">
      <c r="A2784" s="3">
        <f>IF(E2784="","",COUNTA($E$2729:E2784))</f>
        <v>45</v>
      </c>
      <c r="B2784" s="154" t="s">
        <v>2911</v>
      </c>
      <c r="C2784" s="153" t="s">
        <v>2977</v>
      </c>
      <c r="D2784" s="153" t="s">
        <v>2987</v>
      </c>
      <c r="E2784" s="223">
        <v>245590</v>
      </c>
      <c r="F2784" s="181">
        <v>245590</v>
      </c>
      <c r="G2784" s="148">
        <f t="shared" si="63"/>
        <v>0</v>
      </c>
      <c r="H2784" s="247"/>
    </row>
    <row r="2785" spans="1:8" ht="16.5">
      <c r="A2785" s="3">
        <f>IF(E2785="","",COUNTA($E$2729:E2785))</f>
        <v>46</v>
      </c>
      <c r="B2785" s="154" t="s">
        <v>2912</v>
      </c>
      <c r="C2785" s="153" t="s">
        <v>2977</v>
      </c>
      <c r="D2785" s="153" t="s">
        <v>2987</v>
      </c>
      <c r="E2785" s="223">
        <v>361690</v>
      </c>
      <c r="F2785" s="181">
        <v>361690</v>
      </c>
      <c r="G2785" s="148">
        <f t="shared" si="63"/>
        <v>0</v>
      </c>
      <c r="H2785" s="247"/>
    </row>
    <row r="2786" spans="1:8" ht="16.5">
      <c r="A2786" s="3">
        <f>IF(E2786="","",COUNTA($E$2729:E2786))</f>
        <v>47</v>
      </c>
      <c r="B2786" s="154" t="s">
        <v>2913</v>
      </c>
      <c r="C2786" s="153" t="s">
        <v>2977</v>
      </c>
      <c r="D2786" s="153" t="s">
        <v>2987</v>
      </c>
      <c r="E2786" s="223">
        <v>642940</v>
      </c>
      <c r="F2786" s="181">
        <v>642940</v>
      </c>
      <c r="G2786" s="148">
        <f t="shared" si="63"/>
        <v>0</v>
      </c>
      <c r="H2786" s="247"/>
    </row>
    <row r="2787" spans="1:8" ht="16.5">
      <c r="A2787" s="3">
        <f>IF(E2787="","",COUNTA($E$2729:E2787))</f>
        <v>48</v>
      </c>
      <c r="B2787" s="154" t="s">
        <v>2914</v>
      </c>
      <c r="C2787" s="153" t="s">
        <v>2977</v>
      </c>
      <c r="D2787" s="153" t="s">
        <v>2987</v>
      </c>
      <c r="E2787" s="223">
        <v>1240200</v>
      </c>
      <c r="F2787" s="181">
        <v>1240200</v>
      </c>
      <c r="G2787" s="148">
        <f t="shared" si="63"/>
        <v>0</v>
      </c>
      <c r="H2787" s="247"/>
    </row>
    <row r="2788" spans="1:8" ht="16.5">
      <c r="A2788" s="3">
        <f>IF(E2788="","",COUNTA($E$2729:E2788))</f>
        <v>49</v>
      </c>
      <c r="B2788" s="154" t="s">
        <v>2915</v>
      </c>
      <c r="C2788" s="153" t="s">
        <v>2977</v>
      </c>
      <c r="D2788" s="153" t="s">
        <v>2987</v>
      </c>
      <c r="E2788" s="223">
        <v>1635750</v>
      </c>
      <c r="F2788" s="181">
        <v>1635750</v>
      </c>
      <c r="G2788" s="148">
        <f t="shared" si="63"/>
        <v>0</v>
      </c>
      <c r="H2788" s="247"/>
    </row>
    <row r="2789" spans="1:8" ht="66">
      <c r="A2789" s="3">
        <f>IF(E2789="","",COUNTA($E$2729:E2789))</f>
      </c>
      <c r="B2789" s="152" t="s">
        <v>2916</v>
      </c>
      <c r="C2789" s="157"/>
      <c r="D2789" s="156"/>
      <c r="E2789" s="227"/>
      <c r="F2789" s="154"/>
      <c r="G2789" s="148"/>
      <c r="H2789" s="247"/>
    </row>
    <row r="2790" spans="1:8" ht="16.5">
      <c r="A2790" s="3">
        <f>IF(E2790="","",COUNTA($E$2729:E2790))</f>
        <v>50</v>
      </c>
      <c r="B2790" s="154" t="s">
        <v>2917</v>
      </c>
      <c r="C2790" s="153" t="s">
        <v>2977</v>
      </c>
      <c r="D2790" s="153" t="s">
        <v>2987</v>
      </c>
      <c r="E2790" s="223">
        <v>130840</v>
      </c>
      <c r="F2790" s="181">
        <v>130840</v>
      </c>
      <c r="G2790" s="148">
        <f t="shared" si="63"/>
        <v>0</v>
      </c>
      <c r="H2790" s="247"/>
    </row>
    <row r="2791" spans="1:8" ht="16.5">
      <c r="A2791" s="3">
        <f>IF(E2791="","",COUNTA($E$2729:E2791))</f>
        <v>51</v>
      </c>
      <c r="B2791" s="154" t="s">
        <v>2918</v>
      </c>
      <c r="C2791" s="153" t="s">
        <v>2977</v>
      </c>
      <c r="D2791" s="153" t="s">
        <v>2987</v>
      </c>
      <c r="E2791" s="223">
        <v>219260</v>
      </c>
      <c r="F2791" s="181">
        <v>219260</v>
      </c>
      <c r="G2791" s="148">
        <f t="shared" si="63"/>
        <v>0</v>
      </c>
      <c r="H2791" s="247"/>
    </row>
    <row r="2792" spans="1:8" ht="16.5">
      <c r="A2792" s="3">
        <f>IF(E2792="","",COUNTA($E$2729:E2792))</f>
        <v>52</v>
      </c>
      <c r="B2792" s="154" t="s">
        <v>2919</v>
      </c>
      <c r="C2792" s="153" t="s">
        <v>2977</v>
      </c>
      <c r="D2792" s="153" t="s">
        <v>2987</v>
      </c>
      <c r="E2792" s="223">
        <v>392180</v>
      </c>
      <c r="F2792" s="181">
        <v>392180</v>
      </c>
      <c r="G2792" s="148">
        <f t="shared" si="63"/>
        <v>0</v>
      </c>
      <c r="H2792" s="247"/>
    </row>
    <row r="2793" spans="1:8" ht="16.5">
      <c r="A2793" s="3">
        <f>IF(E2793="","",COUNTA($E$2729:E2793))</f>
        <v>53</v>
      </c>
      <c r="B2793" s="154" t="s">
        <v>2920</v>
      </c>
      <c r="C2793" s="153" t="s">
        <v>2977</v>
      </c>
      <c r="D2793" s="153" t="s">
        <v>2987</v>
      </c>
      <c r="E2793" s="223">
        <v>938810</v>
      </c>
      <c r="F2793" s="181">
        <v>938810</v>
      </c>
      <c r="G2793" s="148">
        <f aca="true" t="shared" si="64" ref="G2793:G2856">(E2793-F2793)/E2793</f>
        <v>0</v>
      </c>
      <c r="H2793" s="247"/>
    </row>
    <row r="2794" spans="1:8" ht="49.5">
      <c r="A2794" s="3">
        <f>IF(E2794="","",COUNTA($E$2729:E2794))</f>
      </c>
      <c r="B2794" s="152" t="s">
        <v>2921</v>
      </c>
      <c r="C2794" s="157"/>
      <c r="D2794" s="156"/>
      <c r="E2794" s="227"/>
      <c r="F2794" s="154"/>
      <c r="G2794" s="148"/>
      <c r="H2794" s="247"/>
    </row>
    <row r="2795" spans="1:8" ht="16.5">
      <c r="A2795" s="3">
        <f>IF(E2795="","",COUNTA($E$2729:E2795))</f>
        <v>54</v>
      </c>
      <c r="B2795" s="154" t="s">
        <v>2922</v>
      </c>
      <c r="C2795" s="153" t="s">
        <v>2977</v>
      </c>
      <c r="D2795" s="153" t="s">
        <v>2987</v>
      </c>
      <c r="E2795" s="223">
        <v>67390</v>
      </c>
      <c r="F2795" s="181">
        <v>67390</v>
      </c>
      <c r="G2795" s="148">
        <f t="shared" si="64"/>
        <v>0</v>
      </c>
      <c r="H2795" s="247"/>
    </row>
    <row r="2796" spans="1:8" ht="16.5">
      <c r="A2796" s="3">
        <f>IF(E2796="","",COUNTA($E$2729:E2796))</f>
        <v>55</v>
      </c>
      <c r="B2796" s="154" t="s">
        <v>2923</v>
      </c>
      <c r="C2796" s="153" t="s">
        <v>2977</v>
      </c>
      <c r="D2796" s="153" t="s">
        <v>2987</v>
      </c>
      <c r="E2796" s="223">
        <v>118010</v>
      </c>
      <c r="F2796" s="181">
        <v>118010</v>
      </c>
      <c r="G2796" s="148">
        <f t="shared" si="64"/>
        <v>0</v>
      </c>
      <c r="H2796" s="247"/>
    </row>
    <row r="2797" spans="1:8" ht="16.5">
      <c r="A2797" s="3">
        <f>IF(E2797="","",COUNTA($E$2729:E2797))</f>
        <v>56</v>
      </c>
      <c r="B2797" s="154" t="s">
        <v>2924</v>
      </c>
      <c r="C2797" s="153" t="s">
        <v>2977</v>
      </c>
      <c r="D2797" s="153" t="s">
        <v>2987</v>
      </c>
      <c r="E2797" s="223">
        <v>409610</v>
      </c>
      <c r="F2797" s="181">
        <v>409610</v>
      </c>
      <c r="G2797" s="148">
        <f t="shared" si="64"/>
        <v>0</v>
      </c>
      <c r="H2797" s="247"/>
    </row>
    <row r="2798" spans="1:8" ht="16.5">
      <c r="A2798" s="3">
        <f>IF(E2798="","",COUNTA($E$2729:E2798))</f>
        <v>57</v>
      </c>
      <c r="B2798" s="154" t="s">
        <v>2925</v>
      </c>
      <c r="C2798" s="153" t="s">
        <v>2977</v>
      </c>
      <c r="D2798" s="153" t="s">
        <v>2987</v>
      </c>
      <c r="E2798" s="223">
        <v>1207800</v>
      </c>
      <c r="F2798" s="181">
        <v>1207800</v>
      </c>
      <c r="G2798" s="148">
        <f t="shared" si="64"/>
        <v>0</v>
      </c>
      <c r="H2798" s="247"/>
    </row>
    <row r="2799" spans="1:8" ht="49.5">
      <c r="A2799" s="3">
        <f>IF(E2799="","",COUNTA($E$2729:E2799))</f>
      </c>
      <c r="B2799" s="152" t="s">
        <v>2926</v>
      </c>
      <c r="C2799" s="157"/>
      <c r="D2799" s="156"/>
      <c r="E2799" s="227"/>
      <c r="F2799" s="154"/>
      <c r="G2799" s="148"/>
      <c r="H2799" s="247"/>
    </row>
    <row r="2800" spans="1:8" ht="16.5">
      <c r="A2800" s="3">
        <f>IF(E2800="","",COUNTA($E$2729:E2800))</f>
        <v>58</v>
      </c>
      <c r="B2800" s="154" t="s">
        <v>2927</v>
      </c>
      <c r="C2800" s="153" t="s">
        <v>2977</v>
      </c>
      <c r="D2800" s="153" t="s">
        <v>2987</v>
      </c>
      <c r="E2800" s="223">
        <v>110700</v>
      </c>
      <c r="F2800" s="181">
        <v>110700</v>
      </c>
      <c r="G2800" s="148">
        <f t="shared" si="64"/>
        <v>0</v>
      </c>
      <c r="H2800" s="247"/>
    </row>
    <row r="2801" spans="1:8" ht="16.5">
      <c r="A2801" s="3">
        <f>IF(E2801="","",COUNTA($E$2729:E2801))</f>
        <v>59</v>
      </c>
      <c r="B2801" s="154" t="s">
        <v>2928</v>
      </c>
      <c r="C2801" s="153" t="s">
        <v>2977</v>
      </c>
      <c r="D2801" s="153" t="s">
        <v>2987</v>
      </c>
      <c r="E2801" s="223">
        <v>227480</v>
      </c>
      <c r="F2801" s="181">
        <v>227480</v>
      </c>
      <c r="G2801" s="148">
        <f t="shared" si="64"/>
        <v>0</v>
      </c>
      <c r="H2801" s="247"/>
    </row>
    <row r="2802" spans="1:8" ht="16.5">
      <c r="A2802" s="3">
        <f>IF(E2802="","",COUNTA($E$2729:E2802))</f>
        <v>60</v>
      </c>
      <c r="B2802" s="154" t="s">
        <v>2929</v>
      </c>
      <c r="C2802" s="153" t="s">
        <v>2977</v>
      </c>
      <c r="D2802" s="153" t="s">
        <v>2987</v>
      </c>
      <c r="E2802" s="223">
        <v>583540</v>
      </c>
      <c r="F2802" s="181">
        <v>583540</v>
      </c>
      <c r="G2802" s="148">
        <f t="shared" si="64"/>
        <v>0</v>
      </c>
      <c r="H2802" s="247"/>
    </row>
    <row r="2803" spans="1:8" ht="16.5">
      <c r="A2803" s="3">
        <f>IF(E2803="","",COUNTA($E$2729:E2803))</f>
        <v>61</v>
      </c>
      <c r="B2803" s="154" t="s">
        <v>2930</v>
      </c>
      <c r="C2803" s="153" t="s">
        <v>2977</v>
      </c>
      <c r="D2803" s="153" t="s">
        <v>2987</v>
      </c>
      <c r="E2803" s="223">
        <v>2163040</v>
      </c>
      <c r="F2803" s="181">
        <v>2163040</v>
      </c>
      <c r="G2803" s="148">
        <f t="shared" si="64"/>
        <v>0</v>
      </c>
      <c r="H2803" s="247"/>
    </row>
    <row r="2804" spans="1:8" ht="66">
      <c r="A2804" s="3">
        <f>IF(E2804="","",COUNTA($E$2729:E2804))</f>
      </c>
      <c r="B2804" s="152" t="s">
        <v>2931</v>
      </c>
      <c r="C2804" s="157"/>
      <c r="D2804" s="156"/>
      <c r="E2804" s="227"/>
      <c r="F2804" s="154"/>
      <c r="G2804" s="148"/>
      <c r="H2804" s="247"/>
    </row>
    <row r="2805" spans="1:8" ht="16.5">
      <c r="A2805" s="3">
        <f>IF(E2805="","",COUNTA($E$2729:E2805))</f>
        <v>62</v>
      </c>
      <c r="B2805" s="154" t="s">
        <v>2932</v>
      </c>
      <c r="C2805" s="153" t="s">
        <v>2977</v>
      </c>
      <c r="D2805" s="153" t="s">
        <v>2985</v>
      </c>
      <c r="E2805" s="223">
        <v>97880</v>
      </c>
      <c r="F2805" s="181">
        <v>97880</v>
      </c>
      <c r="G2805" s="148">
        <f t="shared" si="64"/>
        <v>0</v>
      </c>
      <c r="H2805" s="247"/>
    </row>
    <row r="2806" spans="1:8" ht="16.5">
      <c r="A2806" s="3">
        <f>IF(E2806="","",COUNTA($E$2729:E2806))</f>
        <v>63</v>
      </c>
      <c r="B2806" s="154" t="s">
        <v>2933</v>
      </c>
      <c r="C2806" s="153" t="s">
        <v>2977</v>
      </c>
      <c r="D2806" s="153" t="s">
        <v>2985</v>
      </c>
      <c r="E2806" s="223">
        <v>273710</v>
      </c>
      <c r="F2806" s="181">
        <v>273710</v>
      </c>
      <c r="G2806" s="148">
        <f t="shared" si="64"/>
        <v>0</v>
      </c>
      <c r="H2806" s="247"/>
    </row>
    <row r="2807" spans="1:8" ht="16.5">
      <c r="A2807" s="3">
        <f>IF(E2807="","",COUNTA($E$2729:E2807))</f>
        <v>64</v>
      </c>
      <c r="B2807" s="154" t="s">
        <v>2934</v>
      </c>
      <c r="C2807" s="153" t="s">
        <v>2977</v>
      </c>
      <c r="D2807" s="153" t="s">
        <v>2985</v>
      </c>
      <c r="E2807" s="223">
        <v>686480</v>
      </c>
      <c r="F2807" s="181">
        <v>686480</v>
      </c>
      <c r="G2807" s="148">
        <f t="shared" si="64"/>
        <v>0</v>
      </c>
      <c r="H2807" s="247"/>
    </row>
    <row r="2808" spans="1:8" ht="16.5">
      <c r="A2808" s="3">
        <f>IF(E2808="","",COUNTA($E$2729:E2808))</f>
        <v>65</v>
      </c>
      <c r="B2808" s="154" t="s">
        <v>2935</v>
      </c>
      <c r="C2808" s="153" t="s">
        <v>2977</v>
      </c>
      <c r="D2808" s="153" t="s">
        <v>2985</v>
      </c>
      <c r="E2808" s="223">
        <v>3394130</v>
      </c>
      <c r="F2808" s="181">
        <v>3394130</v>
      </c>
      <c r="G2808" s="148">
        <f t="shared" si="64"/>
        <v>0</v>
      </c>
      <c r="H2808" s="247"/>
    </row>
    <row r="2809" spans="1:8" ht="17.25">
      <c r="A2809" s="3">
        <f>IF(E2809="","",COUNTA($E$2729:E2809))</f>
      </c>
      <c r="B2809" s="152" t="s">
        <v>2936</v>
      </c>
      <c r="C2809" s="157"/>
      <c r="D2809" s="156"/>
      <c r="E2809" s="227"/>
      <c r="F2809" s="154"/>
      <c r="G2809" s="148"/>
      <c r="H2809" s="247"/>
    </row>
    <row r="2810" spans="1:8" ht="16.5">
      <c r="A2810" s="3">
        <f>IF(E2810="","",COUNTA($E$2729:E2810))</f>
        <v>66</v>
      </c>
      <c r="B2810" s="154" t="s">
        <v>2937</v>
      </c>
      <c r="C2810" s="153" t="s">
        <v>2977</v>
      </c>
      <c r="D2810" s="153" t="s">
        <v>2988</v>
      </c>
      <c r="E2810" s="223">
        <v>34860</v>
      </c>
      <c r="F2810" s="181">
        <v>34860</v>
      </c>
      <c r="G2810" s="148">
        <f t="shared" si="64"/>
        <v>0</v>
      </c>
      <c r="H2810" s="247"/>
    </row>
    <row r="2811" spans="1:8" ht="16.5">
      <c r="A2811" s="3">
        <f>IF(E2811="","",COUNTA($E$2729:E2811))</f>
        <v>67</v>
      </c>
      <c r="B2811" s="154" t="s">
        <v>2938</v>
      </c>
      <c r="C2811" s="153" t="s">
        <v>2977</v>
      </c>
      <c r="D2811" s="153" t="s">
        <v>2988</v>
      </c>
      <c r="E2811" s="223">
        <v>173840</v>
      </c>
      <c r="F2811" s="181">
        <v>173840</v>
      </c>
      <c r="G2811" s="148">
        <f t="shared" si="64"/>
        <v>0</v>
      </c>
      <c r="H2811" s="247"/>
    </row>
    <row r="2812" spans="1:8" ht="33">
      <c r="A2812" s="3">
        <f>IF(E2812="","",COUNTA($E$2729:E2812))</f>
      </c>
      <c r="B2812" s="152" t="s">
        <v>2939</v>
      </c>
      <c r="C2812" s="157"/>
      <c r="D2812" s="156"/>
      <c r="E2812" s="227"/>
      <c r="F2812" s="154"/>
      <c r="G2812" s="148"/>
      <c r="H2812" s="247"/>
    </row>
    <row r="2813" spans="1:8" ht="16.5">
      <c r="A2813" s="3">
        <f>IF(E2813="","",COUNTA($E$2729:E2813))</f>
        <v>68</v>
      </c>
      <c r="B2813" s="154" t="s">
        <v>3000</v>
      </c>
      <c r="C2813" s="153" t="s">
        <v>2977</v>
      </c>
      <c r="D2813" s="153" t="s">
        <v>2987</v>
      </c>
      <c r="E2813" s="223">
        <v>57260</v>
      </c>
      <c r="F2813" s="181">
        <v>57260</v>
      </c>
      <c r="G2813" s="148">
        <f t="shared" si="64"/>
        <v>0</v>
      </c>
      <c r="H2813" s="247"/>
    </row>
    <row r="2814" spans="1:8" ht="16.5">
      <c r="A2814" s="3">
        <f>IF(E2814="","",COUNTA($E$2729:E2814))</f>
        <v>69</v>
      </c>
      <c r="B2814" s="154" t="s">
        <v>2940</v>
      </c>
      <c r="C2814" s="153" t="s">
        <v>2977</v>
      </c>
      <c r="D2814" s="153" t="s">
        <v>2987</v>
      </c>
      <c r="E2814" s="223">
        <v>115090</v>
      </c>
      <c r="F2814" s="181">
        <v>115090</v>
      </c>
      <c r="G2814" s="148">
        <f t="shared" si="64"/>
        <v>0</v>
      </c>
      <c r="H2814" s="247"/>
    </row>
    <row r="2815" spans="1:8" ht="16.5">
      <c r="A2815" s="3">
        <f>IF(E2815="","",COUNTA($E$2729:E2815))</f>
        <v>70</v>
      </c>
      <c r="B2815" s="154" t="s">
        <v>2941</v>
      </c>
      <c r="C2815" s="153" t="s">
        <v>2977</v>
      </c>
      <c r="D2815" s="153" t="s">
        <v>2987</v>
      </c>
      <c r="E2815" s="223">
        <v>309710</v>
      </c>
      <c r="F2815" s="181">
        <v>309710</v>
      </c>
      <c r="G2815" s="148">
        <f t="shared" si="64"/>
        <v>0</v>
      </c>
      <c r="H2815" s="247"/>
    </row>
    <row r="2816" spans="1:8" ht="49.5">
      <c r="A2816" s="3">
        <f>IF(E2816="","",COUNTA($E$2729:E2816))</f>
      </c>
      <c r="B2816" s="152" t="s">
        <v>3001</v>
      </c>
      <c r="C2816" s="157"/>
      <c r="D2816" s="156"/>
      <c r="E2816" s="227"/>
      <c r="F2816" s="154"/>
      <c r="G2816" s="148"/>
      <c r="H2816" s="247"/>
    </row>
    <row r="2817" spans="1:8" ht="16.5">
      <c r="A2817" s="3">
        <f>IF(E2817="","",COUNTA($E$2729:E2817))</f>
        <v>71</v>
      </c>
      <c r="B2817" s="154" t="s">
        <v>2942</v>
      </c>
      <c r="C2817" s="153" t="s">
        <v>2977</v>
      </c>
      <c r="D2817" s="153" t="s">
        <v>2987</v>
      </c>
      <c r="E2817" s="223">
        <v>21160</v>
      </c>
      <c r="F2817" s="181">
        <v>21160</v>
      </c>
      <c r="G2817" s="148">
        <f t="shared" si="64"/>
        <v>0</v>
      </c>
      <c r="H2817" s="247"/>
    </row>
    <row r="2818" spans="1:8" ht="16.5">
      <c r="A2818" s="3">
        <f>IF(E2818="","",COUNTA($E$2729:E2818))</f>
        <v>72</v>
      </c>
      <c r="B2818" s="154" t="s">
        <v>2943</v>
      </c>
      <c r="C2818" s="153" t="s">
        <v>2977</v>
      </c>
      <c r="D2818" s="153" t="s">
        <v>2987</v>
      </c>
      <c r="E2818" s="223">
        <v>114410</v>
      </c>
      <c r="F2818" s="181">
        <v>114410</v>
      </c>
      <c r="G2818" s="148">
        <f t="shared" si="64"/>
        <v>0</v>
      </c>
      <c r="H2818" s="247"/>
    </row>
    <row r="2819" spans="1:8" ht="16.5">
      <c r="A2819" s="3">
        <f>IF(E2819="","",COUNTA($E$2729:E2819))</f>
        <v>73</v>
      </c>
      <c r="B2819" s="154" t="s">
        <v>2944</v>
      </c>
      <c r="C2819" s="153" t="s">
        <v>2977</v>
      </c>
      <c r="D2819" s="153" t="s">
        <v>2987</v>
      </c>
      <c r="E2819" s="223">
        <v>327600</v>
      </c>
      <c r="F2819" s="181">
        <v>327600</v>
      </c>
      <c r="G2819" s="148">
        <f t="shared" si="64"/>
        <v>0</v>
      </c>
      <c r="H2819" s="247"/>
    </row>
    <row r="2820" spans="1:8" ht="16.5">
      <c r="A2820" s="3">
        <f>IF(E2820="","",COUNTA($E$2729:E2820))</f>
        <v>74</v>
      </c>
      <c r="B2820" s="154" t="s">
        <v>2945</v>
      </c>
      <c r="C2820" s="153" t="s">
        <v>2977</v>
      </c>
      <c r="D2820" s="153" t="s">
        <v>2987</v>
      </c>
      <c r="E2820" s="223">
        <v>402530</v>
      </c>
      <c r="F2820" s="181">
        <v>402530</v>
      </c>
      <c r="G2820" s="148">
        <f t="shared" si="64"/>
        <v>0</v>
      </c>
      <c r="H2820" s="247"/>
    </row>
    <row r="2821" spans="1:8" ht="49.5">
      <c r="A2821" s="3">
        <f>IF(E2821="","",COUNTA($E$2729:E2821))</f>
      </c>
      <c r="B2821" s="152" t="s">
        <v>3002</v>
      </c>
      <c r="C2821" s="157"/>
      <c r="D2821" s="156"/>
      <c r="E2821" s="227"/>
      <c r="F2821" s="154"/>
      <c r="G2821" s="148"/>
      <c r="H2821" s="247"/>
    </row>
    <row r="2822" spans="1:8" ht="16.5">
      <c r="A2822" s="3">
        <f>IF(E2822="","",COUNTA($E$2729:E2822))</f>
        <v>75</v>
      </c>
      <c r="B2822" s="154" t="s">
        <v>2946</v>
      </c>
      <c r="C2822" s="153" t="s">
        <v>2977</v>
      </c>
      <c r="D2822" s="153" t="s">
        <v>2987</v>
      </c>
      <c r="E2822" s="225">
        <v>40050</v>
      </c>
      <c r="F2822" s="183">
        <v>40050</v>
      </c>
      <c r="G2822" s="148">
        <f t="shared" si="64"/>
        <v>0</v>
      </c>
      <c r="H2822" s="247"/>
    </row>
    <row r="2823" spans="1:8" ht="16.5">
      <c r="A2823" s="3">
        <f>IF(E2823="","",COUNTA($E$2729:E2823))</f>
        <v>76</v>
      </c>
      <c r="B2823" s="154" t="s">
        <v>2947</v>
      </c>
      <c r="C2823" s="153" t="s">
        <v>2977</v>
      </c>
      <c r="D2823" s="153" t="s">
        <v>2987</v>
      </c>
      <c r="E2823" s="223">
        <v>112280</v>
      </c>
      <c r="F2823" s="181">
        <v>112280</v>
      </c>
      <c r="G2823" s="148">
        <f t="shared" si="64"/>
        <v>0</v>
      </c>
      <c r="H2823" s="247"/>
    </row>
    <row r="2824" spans="1:8" ht="16.5">
      <c r="A2824" s="3">
        <f>IF(E2824="","",COUNTA($E$2729:E2824))</f>
        <v>77</v>
      </c>
      <c r="B2824" s="154" t="s">
        <v>2948</v>
      </c>
      <c r="C2824" s="153" t="s">
        <v>2977</v>
      </c>
      <c r="D2824" s="153" t="s">
        <v>2987</v>
      </c>
      <c r="E2824" s="223">
        <v>355280</v>
      </c>
      <c r="F2824" s="181">
        <v>355280</v>
      </c>
      <c r="G2824" s="148">
        <f t="shared" si="64"/>
        <v>0</v>
      </c>
      <c r="H2824" s="247"/>
    </row>
    <row r="2825" spans="1:8" ht="66">
      <c r="A2825" s="3">
        <f>IF(E2825="","",COUNTA($E$2729:E2825))</f>
      </c>
      <c r="B2825" s="152" t="s">
        <v>2949</v>
      </c>
      <c r="C2825" s="157"/>
      <c r="D2825" s="156"/>
      <c r="E2825" s="227"/>
      <c r="F2825" s="154"/>
      <c r="G2825" s="148"/>
      <c r="H2825" s="247"/>
    </row>
    <row r="2826" spans="1:8" ht="16.5">
      <c r="A2826" s="3">
        <f>IF(E2826="","",COUNTA($E$2729:E2826))</f>
        <v>78</v>
      </c>
      <c r="B2826" s="154" t="s">
        <v>2950</v>
      </c>
      <c r="C2826" s="153" t="s">
        <v>2977</v>
      </c>
      <c r="D2826" s="153" t="s">
        <v>2989</v>
      </c>
      <c r="E2826" s="223">
        <v>411750</v>
      </c>
      <c r="F2826" s="181">
        <v>411750</v>
      </c>
      <c r="G2826" s="148">
        <f t="shared" si="64"/>
        <v>0</v>
      </c>
      <c r="H2826" s="247"/>
    </row>
    <row r="2827" spans="1:8" ht="16.5">
      <c r="A2827" s="3">
        <f>IF(E2827="","",COUNTA($E$2729:E2827))</f>
        <v>79</v>
      </c>
      <c r="B2827" s="154" t="s">
        <v>2951</v>
      </c>
      <c r="C2827" s="153" t="s">
        <v>2977</v>
      </c>
      <c r="D2827" s="153" t="s">
        <v>2989</v>
      </c>
      <c r="E2827" s="223">
        <v>968740</v>
      </c>
      <c r="F2827" s="181">
        <v>968740</v>
      </c>
      <c r="G2827" s="148">
        <f t="shared" si="64"/>
        <v>0</v>
      </c>
      <c r="H2827" s="247"/>
    </row>
    <row r="2828" spans="1:8" ht="99">
      <c r="A2828" s="3">
        <f>IF(E2828="","",COUNTA($E$2729:E2828))</f>
      </c>
      <c r="B2828" s="152" t="s">
        <v>3003</v>
      </c>
      <c r="C2828" s="157"/>
      <c r="D2828" s="156"/>
      <c r="E2828" s="227"/>
      <c r="F2828" s="154"/>
      <c r="G2828" s="148"/>
      <c r="H2828" s="247"/>
    </row>
    <row r="2829" spans="1:8" ht="33">
      <c r="A2829" s="3">
        <f>IF(E2829="","",COUNTA($E$2729:E2829))</f>
        <v>80</v>
      </c>
      <c r="B2829" s="154" t="s">
        <v>2952</v>
      </c>
      <c r="C2829" s="153" t="s">
        <v>2977</v>
      </c>
      <c r="D2829" s="153" t="s">
        <v>2990</v>
      </c>
      <c r="E2829" s="223">
        <v>1028590</v>
      </c>
      <c r="F2829" s="181">
        <v>1028590</v>
      </c>
      <c r="G2829" s="148">
        <f t="shared" si="64"/>
        <v>0</v>
      </c>
      <c r="H2829" s="247"/>
    </row>
    <row r="2830" spans="1:8" ht="33">
      <c r="A2830" s="3">
        <f>IF(E2830="","",COUNTA($E$2729:E2830))</f>
        <v>81</v>
      </c>
      <c r="B2830" s="154" t="s">
        <v>2953</v>
      </c>
      <c r="C2830" s="153" t="s">
        <v>2977</v>
      </c>
      <c r="D2830" s="153" t="s">
        <v>2990</v>
      </c>
      <c r="E2830" s="223">
        <v>5222030</v>
      </c>
      <c r="F2830" s="181">
        <v>5222030</v>
      </c>
      <c r="G2830" s="148">
        <f t="shared" si="64"/>
        <v>0</v>
      </c>
      <c r="H2830" s="247"/>
    </row>
    <row r="2831" spans="1:8" ht="17.25">
      <c r="A2831" s="3">
        <f>IF(E2831="","",COUNTA($E$2729:E2831))</f>
      </c>
      <c r="B2831" s="152" t="s">
        <v>2954</v>
      </c>
      <c r="C2831" s="157"/>
      <c r="D2831" s="156"/>
      <c r="E2831" s="227"/>
      <c r="F2831" s="154"/>
      <c r="G2831" s="148"/>
      <c r="H2831" s="247"/>
    </row>
    <row r="2832" spans="1:8" ht="16.5">
      <c r="A2832" s="3">
        <f>IF(E2832="","",COUNTA($E$2729:E2832))</f>
        <v>82</v>
      </c>
      <c r="B2832" s="154" t="s">
        <v>2955</v>
      </c>
      <c r="C2832" s="153" t="s">
        <v>2977</v>
      </c>
      <c r="D2832" s="153" t="s">
        <v>2991</v>
      </c>
      <c r="E2832" s="223">
        <v>7330</v>
      </c>
      <c r="F2832" s="181">
        <v>7330</v>
      </c>
      <c r="G2832" s="148">
        <f t="shared" si="64"/>
        <v>0</v>
      </c>
      <c r="H2832" s="247"/>
    </row>
    <row r="2833" spans="1:8" ht="16.5">
      <c r="A2833" s="3">
        <f>IF(E2833="","",COUNTA($E$2729:E2833))</f>
        <v>83</v>
      </c>
      <c r="B2833" s="154" t="s">
        <v>2956</v>
      </c>
      <c r="C2833" s="153" t="s">
        <v>2977</v>
      </c>
      <c r="D2833" s="153" t="s">
        <v>2991</v>
      </c>
      <c r="E2833" s="223">
        <v>13450</v>
      </c>
      <c r="F2833" s="181">
        <v>13450</v>
      </c>
      <c r="G2833" s="148">
        <f t="shared" si="64"/>
        <v>0</v>
      </c>
      <c r="H2833" s="247"/>
    </row>
    <row r="2834" spans="1:8" ht="16.5">
      <c r="A2834" s="3">
        <f>IF(E2834="","",COUNTA($E$2729:E2834))</f>
        <v>84</v>
      </c>
      <c r="B2834" s="154" t="s">
        <v>2957</v>
      </c>
      <c r="C2834" s="153" t="s">
        <v>2977</v>
      </c>
      <c r="D2834" s="153" t="s">
        <v>2991</v>
      </c>
      <c r="E2834" s="223">
        <v>42000</v>
      </c>
      <c r="F2834" s="181">
        <v>42000</v>
      </c>
      <c r="G2834" s="148">
        <f t="shared" si="64"/>
        <v>0</v>
      </c>
      <c r="H2834" s="247"/>
    </row>
    <row r="2835" spans="1:8" ht="16.5">
      <c r="A2835" s="3">
        <f>IF(E2835="","",COUNTA($E$2729:E2835))</f>
        <v>85</v>
      </c>
      <c r="B2835" s="154" t="s">
        <v>2958</v>
      </c>
      <c r="C2835" s="153" t="s">
        <v>2977</v>
      </c>
      <c r="D2835" s="153" t="s">
        <v>2991</v>
      </c>
      <c r="E2835" s="223">
        <v>166800</v>
      </c>
      <c r="F2835" s="181">
        <v>166800</v>
      </c>
      <c r="G2835" s="148">
        <f t="shared" si="64"/>
        <v>0</v>
      </c>
      <c r="H2835" s="247"/>
    </row>
    <row r="2836" spans="1:8" ht="17.25">
      <c r="A2836" s="3">
        <f>IF(E2836="","",COUNTA($E$2729:E2836))</f>
      </c>
      <c r="B2836" s="152" t="s">
        <v>2959</v>
      </c>
      <c r="C2836" s="157"/>
      <c r="D2836" s="156"/>
      <c r="E2836" s="227"/>
      <c r="F2836" s="154"/>
      <c r="G2836" s="148"/>
      <c r="H2836" s="247"/>
    </row>
    <row r="2837" spans="1:8" ht="16.5">
      <c r="A2837" s="3">
        <f>IF(E2837="","",COUNTA($E$2729:E2837))</f>
        <v>86</v>
      </c>
      <c r="B2837" s="154" t="s">
        <v>2960</v>
      </c>
      <c r="C2837" s="153" t="s">
        <v>2977</v>
      </c>
      <c r="D2837" s="153" t="s">
        <v>2992</v>
      </c>
      <c r="E2837" s="223">
        <v>17640</v>
      </c>
      <c r="F2837" s="181">
        <v>17640</v>
      </c>
      <c r="G2837" s="148">
        <f t="shared" si="64"/>
        <v>0</v>
      </c>
      <c r="H2837" s="247"/>
    </row>
    <row r="2838" spans="1:8" ht="16.5">
      <c r="A2838" s="3">
        <f>IF(E2838="","",COUNTA($E$2729:E2838))</f>
        <v>87</v>
      </c>
      <c r="B2838" s="154" t="s">
        <v>2961</v>
      </c>
      <c r="C2838" s="153" t="s">
        <v>2977</v>
      </c>
      <c r="D2838" s="153" t="s">
        <v>2992</v>
      </c>
      <c r="E2838" s="223">
        <v>34170</v>
      </c>
      <c r="F2838" s="181">
        <v>34170</v>
      </c>
      <c r="G2838" s="148">
        <f t="shared" si="64"/>
        <v>0</v>
      </c>
      <c r="H2838" s="247"/>
    </row>
    <row r="2839" spans="1:8" ht="16.5">
      <c r="A2839" s="3">
        <f>IF(E2839="","",COUNTA($E$2729:E2839))</f>
        <v>88</v>
      </c>
      <c r="B2839" s="154" t="s">
        <v>2962</v>
      </c>
      <c r="C2839" s="153" t="s">
        <v>2977</v>
      </c>
      <c r="D2839" s="153" t="s">
        <v>2992</v>
      </c>
      <c r="E2839" s="223">
        <v>85070</v>
      </c>
      <c r="F2839" s="181">
        <v>85070</v>
      </c>
      <c r="G2839" s="148">
        <f t="shared" si="64"/>
        <v>0</v>
      </c>
      <c r="H2839" s="247"/>
    </row>
    <row r="2840" spans="1:8" ht="33">
      <c r="A2840" s="3">
        <f>IF(E2840="","",COUNTA($E$2729:E2840))</f>
      </c>
      <c r="B2840" s="152" t="s">
        <v>2963</v>
      </c>
      <c r="C2840" s="157"/>
      <c r="D2840" s="156"/>
      <c r="E2840" s="227"/>
      <c r="F2840" s="154"/>
      <c r="G2840" s="148"/>
      <c r="H2840" s="247"/>
    </row>
    <row r="2841" spans="1:8" ht="33">
      <c r="A2841" s="3">
        <f>IF(E2841="","",COUNTA($E$2729:E2841))</f>
        <v>89</v>
      </c>
      <c r="B2841" s="154" t="s">
        <v>2964</v>
      </c>
      <c r="C2841" s="153" t="s">
        <v>2977</v>
      </c>
      <c r="D2841" s="153" t="s">
        <v>2993</v>
      </c>
      <c r="E2841" s="223">
        <v>41000</v>
      </c>
      <c r="F2841" s="181">
        <v>41000</v>
      </c>
      <c r="G2841" s="148">
        <f t="shared" si="64"/>
        <v>0</v>
      </c>
      <c r="H2841" s="247"/>
    </row>
    <row r="2842" spans="1:8" ht="17.25">
      <c r="A2842" s="3">
        <f>IF(E2842="","",COUNTA($E$2729:E2842))</f>
      </c>
      <c r="B2842" s="158" t="s">
        <v>2965</v>
      </c>
      <c r="C2842" s="159"/>
      <c r="D2842" s="160"/>
      <c r="E2842" s="228"/>
      <c r="F2842" s="161"/>
      <c r="G2842" s="148"/>
      <c r="H2842" s="247"/>
    </row>
    <row r="2843" spans="1:8" ht="49.5">
      <c r="A2843" s="3">
        <f>IF(E2843="","",COUNTA($E$2729:E2843))</f>
        <v>90</v>
      </c>
      <c r="B2843" s="161" t="s">
        <v>2966</v>
      </c>
      <c r="C2843" s="162" t="s">
        <v>2978</v>
      </c>
      <c r="D2843" s="230" t="s">
        <v>2994</v>
      </c>
      <c r="E2843" s="223">
        <v>20420</v>
      </c>
      <c r="F2843" s="181">
        <v>20420</v>
      </c>
      <c r="G2843" s="148">
        <f t="shared" si="64"/>
        <v>0</v>
      </c>
      <c r="H2843" s="247"/>
    </row>
    <row r="2844" spans="1:8" ht="49.5">
      <c r="A2844" s="3">
        <f>IF(E2844="","",COUNTA($E$2729:E2844))</f>
        <v>91</v>
      </c>
      <c r="B2844" s="161" t="s">
        <v>2967</v>
      </c>
      <c r="C2844" s="162" t="s">
        <v>2978</v>
      </c>
      <c r="D2844" s="230" t="s">
        <v>2994</v>
      </c>
      <c r="E2844" s="223">
        <v>23700</v>
      </c>
      <c r="F2844" s="181">
        <v>23700</v>
      </c>
      <c r="G2844" s="148">
        <f t="shared" si="64"/>
        <v>0</v>
      </c>
      <c r="H2844" s="247"/>
    </row>
    <row r="2845" spans="1:8" ht="49.5">
      <c r="A2845" s="3">
        <f>IF(E2845="","",COUNTA($E$2729:E2845))</f>
        <v>92</v>
      </c>
      <c r="B2845" s="161" t="s">
        <v>2968</v>
      </c>
      <c r="C2845" s="162" t="s">
        <v>2979</v>
      </c>
      <c r="D2845" s="230" t="s">
        <v>2995</v>
      </c>
      <c r="E2845" s="223">
        <v>190880</v>
      </c>
      <c r="F2845" s="181">
        <v>190880</v>
      </c>
      <c r="G2845" s="148">
        <f t="shared" si="64"/>
        <v>0</v>
      </c>
      <c r="H2845" s="247"/>
    </row>
    <row r="2846" spans="1:8" ht="49.5">
      <c r="A2846" s="3">
        <f>IF(E2846="","",COUNTA($E$2729:E2846))</f>
        <v>93</v>
      </c>
      <c r="B2846" s="161" t="s">
        <v>2969</v>
      </c>
      <c r="C2846" s="162" t="s">
        <v>2979</v>
      </c>
      <c r="D2846" s="230" t="s">
        <v>2995</v>
      </c>
      <c r="E2846" s="223">
        <v>265100</v>
      </c>
      <c r="F2846" s="181">
        <v>265100</v>
      </c>
      <c r="G2846" s="148">
        <f t="shared" si="64"/>
        <v>0</v>
      </c>
      <c r="H2846" s="247"/>
    </row>
    <row r="2847" spans="1:8" ht="49.5">
      <c r="A2847" s="3">
        <f>IF(E2847="","",COUNTA($E$2729:E2847))</f>
      </c>
      <c r="B2847" s="158" t="s">
        <v>2970</v>
      </c>
      <c r="C2847" s="159"/>
      <c r="D2847" s="160"/>
      <c r="E2847" s="228"/>
      <c r="F2847" s="161"/>
      <c r="G2847" s="148"/>
      <c r="H2847" s="247"/>
    </row>
    <row r="2848" spans="1:8" ht="49.5">
      <c r="A2848" s="3">
        <f>IF(E2848="","",COUNTA($E$2729:E2848))</f>
        <v>94</v>
      </c>
      <c r="B2848" s="161" t="s">
        <v>2971</v>
      </c>
      <c r="C2848" s="230" t="s">
        <v>2977</v>
      </c>
      <c r="D2848" s="230" t="s">
        <v>2996</v>
      </c>
      <c r="E2848" s="223">
        <v>102490</v>
      </c>
      <c r="F2848" s="181">
        <v>102490</v>
      </c>
      <c r="G2848" s="148">
        <f t="shared" si="64"/>
        <v>0</v>
      </c>
      <c r="H2848" s="247"/>
    </row>
    <row r="2849" spans="1:8" ht="49.5">
      <c r="A2849" s="3">
        <f>IF(E2849="","",COUNTA($E$2729:E2849))</f>
        <v>95</v>
      </c>
      <c r="B2849" s="161" t="s">
        <v>2972</v>
      </c>
      <c r="C2849" s="230" t="s">
        <v>2977</v>
      </c>
      <c r="D2849" s="230" t="s">
        <v>2996</v>
      </c>
      <c r="E2849" s="223">
        <v>890330</v>
      </c>
      <c r="F2849" s="181">
        <v>890330</v>
      </c>
      <c r="G2849" s="148">
        <f t="shared" si="64"/>
        <v>0</v>
      </c>
      <c r="H2849" s="247"/>
    </row>
    <row r="2850" spans="1:8" ht="33">
      <c r="A2850" s="3">
        <f>IF(E2850="","",COUNTA($E$2729:E2850))</f>
      </c>
      <c r="B2850" s="158" t="s">
        <v>2973</v>
      </c>
      <c r="C2850" s="159"/>
      <c r="D2850" s="160"/>
      <c r="E2850" s="228"/>
      <c r="F2850" s="161"/>
      <c r="G2850" s="148"/>
      <c r="H2850" s="247"/>
    </row>
    <row r="2851" spans="1:8" ht="17.25">
      <c r="A2851" s="3">
        <f>IF(E2851="","",COUNTA($E$2729:E2851))</f>
        <v>96</v>
      </c>
      <c r="B2851" s="50" t="s">
        <v>2974</v>
      </c>
      <c r="C2851" s="230" t="s">
        <v>2977</v>
      </c>
      <c r="D2851" s="163" t="s">
        <v>2997</v>
      </c>
      <c r="E2851" s="223">
        <v>22700</v>
      </c>
      <c r="F2851" s="181">
        <v>22700</v>
      </c>
      <c r="G2851" s="148">
        <f t="shared" si="64"/>
        <v>0</v>
      </c>
      <c r="H2851" s="247"/>
    </row>
    <row r="2852" spans="1:8" ht="17.25">
      <c r="A2852" s="3">
        <f>IF(E2852="","",COUNTA($E$2729:E2852))</f>
        <v>97</v>
      </c>
      <c r="B2852" s="50" t="s">
        <v>2975</v>
      </c>
      <c r="C2852" s="230" t="s">
        <v>2977</v>
      </c>
      <c r="D2852" s="163" t="s">
        <v>2998</v>
      </c>
      <c r="E2852" s="223">
        <v>32400</v>
      </c>
      <c r="F2852" s="181">
        <v>32400</v>
      </c>
      <c r="G2852" s="148">
        <f t="shared" si="64"/>
        <v>0</v>
      </c>
      <c r="H2852" s="247"/>
    </row>
    <row r="2853" spans="1:8" ht="17.25">
      <c r="A2853" s="3">
        <f>IF(E2853="","",COUNTA($E$2729:E2853))</f>
        <v>98</v>
      </c>
      <c r="B2853" s="50" t="s">
        <v>2976</v>
      </c>
      <c r="C2853" s="230" t="s">
        <v>2977</v>
      </c>
      <c r="D2853" s="163" t="s">
        <v>2999</v>
      </c>
      <c r="E2853" s="223">
        <v>1246000</v>
      </c>
      <c r="F2853" s="181">
        <v>1246000</v>
      </c>
      <c r="G2853" s="148">
        <f t="shared" si="64"/>
        <v>0</v>
      </c>
      <c r="H2853" s="247"/>
    </row>
    <row r="2854" spans="1:8" ht="17.25">
      <c r="A2854" s="3">
        <f>IF(E2854="","",COUNTA($E$2729:E2854))</f>
      </c>
      <c r="B2854" s="31" t="s">
        <v>409</v>
      </c>
      <c r="C2854" s="57"/>
      <c r="E2854" s="6"/>
      <c r="F2854" s="94"/>
      <c r="G2854" s="148"/>
      <c r="H2854" s="240" t="s">
        <v>410</v>
      </c>
    </row>
    <row r="2855" spans="1:8" ht="33.75" thickBot="1">
      <c r="A2855" s="3">
        <f>IF(E2855="","",COUNTA($E$2729:E2855))</f>
      </c>
      <c r="B2855" s="158" t="s">
        <v>3004</v>
      </c>
      <c r="C2855" s="57"/>
      <c r="E2855" s="6"/>
      <c r="F2855" s="94"/>
      <c r="G2855" s="148"/>
      <c r="H2855" s="241"/>
    </row>
    <row r="2856" spans="1:8" ht="16.5">
      <c r="A2856" s="3">
        <f>IF(E2856="","",COUNTA($E$2729:E2856))</f>
        <v>99</v>
      </c>
      <c r="B2856" s="161" t="s">
        <v>3005</v>
      </c>
      <c r="C2856" s="230" t="s">
        <v>2977</v>
      </c>
      <c r="D2856" s="248" t="s">
        <v>3013</v>
      </c>
      <c r="E2856" s="223">
        <v>2169</v>
      </c>
      <c r="F2856" s="181">
        <v>2169</v>
      </c>
      <c r="G2856" s="148">
        <f t="shared" si="64"/>
        <v>0</v>
      </c>
      <c r="H2856" s="241"/>
    </row>
    <row r="2857" spans="1:8" ht="16.5">
      <c r="A2857" s="3">
        <f>IF(E2857="","",COUNTA($E$2729:E2857))</f>
        <v>100</v>
      </c>
      <c r="B2857" s="161" t="s">
        <v>3006</v>
      </c>
      <c r="C2857" s="230" t="s">
        <v>2977</v>
      </c>
      <c r="D2857" s="249"/>
      <c r="E2857" s="223">
        <v>3606</v>
      </c>
      <c r="F2857" s="181">
        <v>3606</v>
      </c>
      <c r="G2857" s="148">
        <f aca="true" t="shared" si="65" ref="G2857:G2910">(E2857-F2857)/E2857</f>
        <v>0</v>
      </c>
      <c r="H2857" s="241"/>
    </row>
    <row r="2858" spans="1:8" ht="17.25" thickBot="1">
      <c r="A2858" s="3">
        <f>IF(E2858="","",COUNTA($E$2729:E2858))</f>
        <v>101</v>
      </c>
      <c r="B2858" s="161" t="s">
        <v>3007</v>
      </c>
      <c r="C2858" s="230" t="s">
        <v>2977</v>
      </c>
      <c r="D2858" s="250"/>
      <c r="E2858" s="223">
        <v>4587</v>
      </c>
      <c r="F2858" s="181">
        <v>4587</v>
      </c>
      <c r="G2858" s="148">
        <f t="shared" si="65"/>
        <v>0</v>
      </c>
      <c r="H2858" s="241"/>
    </row>
    <row r="2859" spans="1:8" ht="16.5">
      <c r="A2859" s="3">
        <f>IF(E2859="","",COUNTA($E$2729:E2859))</f>
        <v>102</v>
      </c>
      <c r="B2859" s="161" t="s">
        <v>3008</v>
      </c>
      <c r="C2859" s="230" t="s">
        <v>2977</v>
      </c>
      <c r="D2859" s="248" t="s">
        <v>3014</v>
      </c>
      <c r="E2859" s="223">
        <v>6886</v>
      </c>
      <c r="F2859" s="181">
        <v>6886</v>
      </c>
      <c r="G2859" s="148">
        <f t="shared" si="65"/>
        <v>0</v>
      </c>
      <c r="H2859" s="241"/>
    </row>
    <row r="2860" spans="1:8" ht="16.5">
      <c r="A2860" s="3">
        <f>IF(E2860="","",COUNTA($E$2729:E2860))</f>
        <v>103</v>
      </c>
      <c r="B2860" s="161" t="s">
        <v>3009</v>
      </c>
      <c r="C2860" s="230" t="s">
        <v>2977</v>
      </c>
      <c r="D2860" s="249"/>
      <c r="E2860" s="223">
        <v>10977</v>
      </c>
      <c r="F2860" s="181">
        <v>10977</v>
      </c>
      <c r="G2860" s="148">
        <f t="shared" si="65"/>
        <v>0</v>
      </c>
      <c r="H2860" s="241"/>
    </row>
    <row r="2861" spans="1:8" ht="16.5">
      <c r="A2861" s="3">
        <f>IF(E2861="","",COUNTA($E$2729:E2861))</f>
        <v>104</v>
      </c>
      <c r="B2861" s="161" t="s">
        <v>3010</v>
      </c>
      <c r="C2861" s="230" t="s">
        <v>2977</v>
      </c>
      <c r="D2861" s="249"/>
      <c r="E2861" s="223">
        <v>17028</v>
      </c>
      <c r="F2861" s="181">
        <v>17028</v>
      </c>
      <c r="G2861" s="148">
        <f t="shared" si="65"/>
        <v>0</v>
      </c>
      <c r="H2861" s="241"/>
    </row>
    <row r="2862" spans="1:8" ht="16.5">
      <c r="A2862" s="3">
        <f>IF(E2862="","",COUNTA($E$2729:E2862))</f>
        <v>105</v>
      </c>
      <c r="B2862" s="161" t="s">
        <v>3011</v>
      </c>
      <c r="C2862" s="230" t="s">
        <v>2977</v>
      </c>
      <c r="D2862" s="249"/>
      <c r="E2862" s="223">
        <v>25483</v>
      </c>
      <c r="F2862" s="181">
        <v>25483</v>
      </c>
      <c r="G2862" s="148">
        <f t="shared" si="65"/>
        <v>0</v>
      </c>
      <c r="H2862" s="241"/>
    </row>
    <row r="2863" spans="1:8" ht="17.25" thickBot="1">
      <c r="A2863" s="3">
        <f>IF(E2863="","",COUNTA($E$2729:E2863))</f>
        <v>106</v>
      </c>
      <c r="B2863" s="161" t="s">
        <v>3012</v>
      </c>
      <c r="C2863" s="230" t="s">
        <v>2977</v>
      </c>
      <c r="D2863" s="250"/>
      <c r="E2863" s="223">
        <v>42471</v>
      </c>
      <c r="F2863" s="181">
        <v>42471</v>
      </c>
      <c r="G2863" s="148">
        <f t="shared" si="65"/>
        <v>0</v>
      </c>
      <c r="H2863" s="241"/>
    </row>
    <row r="2864" spans="1:8" ht="33">
      <c r="A2864" s="3">
        <f>IF(E2864="","",COUNTA($E$2729:E2864))</f>
      </c>
      <c r="B2864" s="158" t="s">
        <v>3015</v>
      </c>
      <c r="C2864" s="57"/>
      <c r="E2864" s="223"/>
      <c r="F2864" s="181"/>
      <c r="G2864" s="148" t="e">
        <f t="shared" si="65"/>
        <v>#DIV/0!</v>
      </c>
      <c r="H2864" s="241"/>
    </row>
    <row r="2865" spans="1:8" ht="33.75" customHeight="1">
      <c r="A2865" s="3">
        <f>IF(E2865="","",COUNTA($E$2729:E2865))</f>
        <v>107</v>
      </c>
      <c r="B2865" s="161" t="s">
        <v>3016</v>
      </c>
      <c r="C2865" s="230" t="s">
        <v>2977</v>
      </c>
      <c r="D2865" s="244" t="s">
        <v>3022</v>
      </c>
      <c r="E2865" s="223">
        <v>8477</v>
      </c>
      <c r="F2865" s="181">
        <v>8477</v>
      </c>
      <c r="G2865" s="148">
        <f t="shared" si="65"/>
        <v>0</v>
      </c>
      <c r="H2865" s="241"/>
    </row>
    <row r="2866" spans="1:8" ht="16.5">
      <c r="A2866" s="3">
        <f>IF(E2866="","",COUNTA($E$2729:E2866))</f>
        <v>108</v>
      </c>
      <c r="B2866" s="161" t="s">
        <v>3017</v>
      </c>
      <c r="C2866" s="230" t="s">
        <v>2977</v>
      </c>
      <c r="D2866" s="245"/>
      <c r="E2866" s="223">
        <v>10921</v>
      </c>
      <c r="F2866" s="181">
        <v>10921</v>
      </c>
      <c r="G2866" s="148">
        <f t="shared" si="65"/>
        <v>0</v>
      </c>
      <c r="H2866" s="241"/>
    </row>
    <row r="2867" spans="1:8" ht="16.5">
      <c r="A2867" s="3">
        <f>IF(E2867="","",COUNTA($E$2729:E2867))</f>
        <v>109</v>
      </c>
      <c r="B2867" s="161" t="s">
        <v>3018</v>
      </c>
      <c r="C2867" s="230" t="s">
        <v>2977</v>
      </c>
      <c r="D2867" s="245"/>
      <c r="E2867" s="223">
        <v>14991</v>
      </c>
      <c r="F2867" s="181">
        <v>14991</v>
      </c>
      <c r="G2867" s="148">
        <f t="shared" si="65"/>
        <v>0</v>
      </c>
      <c r="H2867" s="241"/>
    </row>
    <row r="2868" spans="1:8" ht="16.5">
      <c r="A2868" s="3">
        <f>IF(E2868="","",COUNTA($E$2729:E2868))</f>
        <v>110</v>
      </c>
      <c r="B2868" s="161" t="s">
        <v>3019</v>
      </c>
      <c r="C2868" s="230" t="s">
        <v>2977</v>
      </c>
      <c r="D2868" s="245"/>
      <c r="E2868" s="223">
        <v>24704</v>
      </c>
      <c r="F2868" s="181">
        <v>24704</v>
      </c>
      <c r="G2868" s="148">
        <f t="shared" si="65"/>
        <v>0</v>
      </c>
      <c r="H2868" s="241"/>
    </row>
    <row r="2869" spans="1:8" ht="16.5">
      <c r="A2869" s="3">
        <f>IF(E2869="","",COUNTA($E$2729:E2869))</f>
        <v>111</v>
      </c>
      <c r="B2869" s="161" t="s">
        <v>3020</v>
      </c>
      <c r="C2869" s="230" t="s">
        <v>2977</v>
      </c>
      <c r="D2869" s="245"/>
      <c r="E2869" s="223">
        <v>36868</v>
      </c>
      <c r="F2869" s="181">
        <v>36868</v>
      </c>
      <c r="G2869" s="148">
        <f t="shared" si="65"/>
        <v>0</v>
      </c>
      <c r="H2869" s="241"/>
    </row>
    <row r="2870" spans="1:8" ht="16.5">
      <c r="A2870" s="3">
        <f>IF(E2870="","",COUNTA($E$2729:E2870))</f>
        <v>112</v>
      </c>
      <c r="B2870" s="161" t="s">
        <v>3021</v>
      </c>
      <c r="C2870" s="230" t="s">
        <v>2977</v>
      </c>
      <c r="D2870" s="246"/>
      <c r="E2870" s="223">
        <v>54460</v>
      </c>
      <c r="F2870" s="181">
        <v>54460</v>
      </c>
      <c r="G2870" s="148">
        <f t="shared" si="65"/>
        <v>0</v>
      </c>
      <c r="H2870" s="241"/>
    </row>
    <row r="2871" spans="1:8" ht="66">
      <c r="A2871" s="3">
        <f>IF(E2871="","",COUNTA($E$2729:E2871))</f>
      </c>
      <c r="B2871" s="158" t="s">
        <v>3023</v>
      </c>
      <c r="C2871" s="57"/>
      <c r="E2871" s="223"/>
      <c r="F2871" s="181"/>
      <c r="G2871" s="148"/>
      <c r="H2871" s="241"/>
    </row>
    <row r="2872" spans="1:8" ht="33">
      <c r="A2872" s="3">
        <f>IF(E2872="","",COUNTA($E$2729:E2872))</f>
      </c>
      <c r="B2872" s="50" t="s">
        <v>3024</v>
      </c>
      <c r="C2872" s="57"/>
      <c r="E2872" s="223"/>
      <c r="F2872" s="181"/>
      <c r="G2872" s="148"/>
      <c r="H2872" s="241"/>
    </row>
    <row r="2873" spans="1:8" ht="17.25" customHeight="1">
      <c r="A2873" s="3">
        <f>IF(E2873="","",COUNTA($E$2729:E2873))</f>
        <v>113</v>
      </c>
      <c r="B2873" s="161" t="s">
        <v>3025</v>
      </c>
      <c r="C2873" s="230" t="s">
        <v>2977</v>
      </c>
      <c r="D2873" s="266" t="s">
        <v>3030</v>
      </c>
      <c r="E2873" s="223">
        <v>14766</v>
      </c>
      <c r="F2873" s="181">
        <v>14766</v>
      </c>
      <c r="G2873" s="148">
        <f t="shared" si="65"/>
        <v>0</v>
      </c>
      <c r="H2873" s="241"/>
    </row>
    <row r="2874" spans="1:8" ht="16.5">
      <c r="A2874" s="3">
        <f>IF(E2874="","",COUNTA($E$2729:E2874))</f>
        <v>114</v>
      </c>
      <c r="B2874" s="161" t="s">
        <v>3026</v>
      </c>
      <c r="C2874" s="230" t="s">
        <v>2977</v>
      </c>
      <c r="D2874" s="266"/>
      <c r="E2874" s="223">
        <v>23783</v>
      </c>
      <c r="F2874" s="181">
        <v>23783</v>
      </c>
      <c r="G2874" s="148">
        <f t="shared" si="65"/>
        <v>0</v>
      </c>
      <c r="H2874" s="241"/>
    </row>
    <row r="2875" spans="1:8" ht="16.5">
      <c r="A2875" s="3">
        <f>IF(E2875="","",COUNTA($E$2729:E2875))</f>
        <v>115</v>
      </c>
      <c r="B2875" s="161" t="s">
        <v>3027</v>
      </c>
      <c r="C2875" s="230" t="s">
        <v>2977</v>
      </c>
      <c r="D2875" s="266"/>
      <c r="E2875" s="223">
        <v>36590</v>
      </c>
      <c r="F2875" s="181">
        <v>36590</v>
      </c>
      <c r="G2875" s="148">
        <f t="shared" si="65"/>
        <v>0</v>
      </c>
      <c r="H2875" s="241"/>
    </row>
    <row r="2876" spans="1:8" ht="16.5">
      <c r="A2876" s="3">
        <f>IF(E2876="","",COUNTA($E$2729:E2876))</f>
        <v>116</v>
      </c>
      <c r="B2876" s="161" t="s">
        <v>3028</v>
      </c>
      <c r="C2876" s="230" t="s">
        <v>2977</v>
      </c>
      <c r="D2876" s="266"/>
      <c r="E2876" s="223">
        <v>50703</v>
      </c>
      <c r="F2876" s="181">
        <v>50703</v>
      </c>
      <c r="G2876" s="148">
        <f t="shared" si="65"/>
        <v>0</v>
      </c>
      <c r="H2876" s="241"/>
    </row>
    <row r="2877" spans="1:8" ht="16.5">
      <c r="A2877" s="3">
        <f>IF(E2877="","",COUNTA($E$2729:E2877))</f>
        <v>117</v>
      </c>
      <c r="B2877" s="161" t="s">
        <v>3029</v>
      </c>
      <c r="C2877" s="230" t="s">
        <v>2977</v>
      </c>
      <c r="D2877" s="266"/>
      <c r="E2877" s="223">
        <v>77231</v>
      </c>
      <c r="F2877" s="181">
        <v>77231</v>
      </c>
      <c r="G2877" s="148">
        <f t="shared" si="65"/>
        <v>0</v>
      </c>
      <c r="H2877" s="241"/>
    </row>
    <row r="2878" spans="1:8" ht="33">
      <c r="A2878" s="3">
        <f>IF(E2878="","",COUNTA($E$2729:E2878))</f>
      </c>
      <c r="B2878" s="50" t="s">
        <v>3031</v>
      </c>
      <c r="C2878" s="57"/>
      <c r="D2878" s="164"/>
      <c r="E2878" s="223"/>
      <c r="F2878" s="181"/>
      <c r="G2878" s="148"/>
      <c r="H2878" s="241"/>
    </row>
    <row r="2879" spans="1:8" ht="17.25" customHeight="1">
      <c r="A2879" s="3">
        <f>IF(E2879="","",COUNTA($E$2729:E2879))</f>
        <v>118</v>
      </c>
      <c r="B2879" s="161" t="s">
        <v>3032</v>
      </c>
      <c r="C2879" s="230" t="s">
        <v>2977</v>
      </c>
      <c r="D2879" s="259" t="s">
        <v>3030</v>
      </c>
      <c r="E2879" s="223">
        <v>34976</v>
      </c>
      <c r="F2879" s="181">
        <v>34976</v>
      </c>
      <c r="G2879" s="148">
        <f t="shared" si="65"/>
        <v>0</v>
      </c>
      <c r="H2879" s="241"/>
    </row>
    <row r="2880" spans="1:8" ht="16.5">
      <c r="A2880" s="3">
        <f>IF(E2880="","",COUNTA($E$2729:E2880))</f>
        <v>119</v>
      </c>
      <c r="B2880" s="161" t="s">
        <v>3033</v>
      </c>
      <c r="C2880" s="230" t="s">
        <v>2977</v>
      </c>
      <c r="D2880" s="260"/>
      <c r="E2880" s="223">
        <v>48277</v>
      </c>
      <c r="F2880" s="181">
        <v>48277</v>
      </c>
      <c r="G2880" s="148">
        <f t="shared" si="65"/>
        <v>0</v>
      </c>
      <c r="H2880" s="241"/>
    </row>
    <row r="2881" spans="1:8" ht="16.5">
      <c r="A2881" s="3">
        <f>IF(E2881="","",COUNTA($E$2729:E2881))</f>
        <v>120</v>
      </c>
      <c r="B2881" s="161" t="s">
        <v>3034</v>
      </c>
      <c r="C2881" s="230" t="s">
        <v>2977</v>
      </c>
      <c r="D2881" s="261"/>
      <c r="E2881" s="223">
        <v>73476</v>
      </c>
      <c r="F2881" s="181">
        <v>73476</v>
      </c>
      <c r="G2881" s="148">
        <f t="shared" si="65"/>
        <v>0</v>
      </c>
      <c r="H2881" s="241"/>
    </row>
    <row r="2882" spans="1:8" ht="33">
      <c r="A2882" s="3">
        <f>IF(E2882="","",COUNTA($E$2729:E2882))</f>
      </c>
      <c r="B2882" s="161" t="s">
        <v>3035</v>
      </c>
      <c r="C2882" s="57"/>
      <c r="D2882" s="161"/>
      <c r="E2882" s="223"/>
      <c r="F2882" s="181"/>
      <c r="G2882" s="148"/>
      <c r="H2882" s="241"/>
    </row>
    <row r="2883" spans="1:8" ht="49.5">
      <c r="A2883" s="3">
        <f>IF(E2883="","",COUNTA($E$2729:E2883))</f>
        <v>121</v>
      </c>
      <c r="B2883" s="161" t="s">
        <v>3036</v>
      </c>
      <c r="C2883" s="57" t="s">
        <v>2977</v>
      </c>
      <c r="D2883" s="161" t="s">
        <v>3030</v>
      </c>
      <c r="E2883" s="223">
        <v>87835</v>
      </c>
      <c r="F2883" s="181">
        <v>87835</v>
      </c>
      <c r="G2883" s="148">
        <f t="shared" si="65"/>
        <v>0</v>
      </c>
      <c r="H2883" s="241"/>
    </row>
    <row r="2884" spans="1:8" ht="49.5">
      <c r="A2884" s="3">
        <f>IF(E2884="","",COUNTA($E$2729:E2884))</f>
      </c>
      <c r="B2884" s="161" t="s">
        <v>3037</v>
      </c>
      <c r="C2884" s="57"/>
      <c r="D2884" s="161"/>
      <c r="E2884" s="223"/>
      <c r="F2884" s="181"/>
      <c r="G2884" s="148"/>
      <c r="H2884" s="241"/>
    </row>
    <row r="2885" spans="1:8" ht="33">
      <c r="A2885" s="3">
        <f>IF(E2885="","",COUNTA($E$2729:E2885))</f>
        <v>122</v>
      </c>
      <c r="B2885" s="161" t="s">
        <v>3038</v>
      </c>
      <c r="C2885" s="57" t="s">
        <v>2977</v>
      </c>
      <c r="D2885" s="244" t="s">
        <v>3030</v>
      </c>
      <c r="E2885" s="223">
        <v>64175</v>
      </c>
      <c r="F2885" s="181">
        <v>64175</v>
      </c>
      <c r="G2885" s="148">
        <f t="shared" si="65"/>
        <v>0</v>
      </c>
      <c r="H2885" s="241"/>
    </row>
    <row r="2886" spans="1:8" ht="16.5">
      <c r="A2886" s="3">
        <f>IF(E2886="","",COUNTA($E$2729:E2886))</f>
        <v>123</v>
      </c>
      <c r="B2886" s="161" t="s">
        <v>3039</v>
      </c>
      <c r="C2886" s="57" t="s">
        <v>2977</v>
      </c>
      <c r="D2886" s="245"/>
      <c r="E2886" s="223">
        <v>91069</v>
      </c>
      <c r="F2886" s="181">
        <v>91069</v>
      </c>
      <c r="G2886" s="148">
        <f t="shared" si="65"/>
        <v>0</v>
      </c>
      <c r="H2886" s="241"/>
    </row>
    <row r="2887" spans="1:8" ht="16.5">
      <c r="A2887" s="3">
        <f>IF(E2887="","",COUNTA($E$2729:E2887))</f>
        <v>124</v>
      </c>
      <c r="B2887" s="161" t="s">
        <v>3040</v>
      </c>
      <c r="C2887" s="57" t="s">
        <v>2977</v>
      </c>
      <c r="D2887" s="245"/>
      <c r="E2887" s="223">
        <v>141441</v>
      </c>
      <c r="F2887" s="181">
        <v>141441</v>
      </c>
      <c r="G2887" s="148">
        <f t="shared" si="65"/>
        <v>0</v>
      </c>
      <c r="H2887" s="241"/>
    </row>
    <row r="2888" spans="1:8" ht="16.5">
      <c r="A2888" s="3">
        <f>IF(E2888="","",COUNTA($E$2729:E2888))</f>
        <v>125</v>
      </c>
      <c r="B2888" s="161" t="s">
        <v>3041</v>
      </c>
      <c r="C2888" s="57" t="s">
        <v>2977</v>
      </c>
      <c r="D2888" s="245"/>
      <c r="E2888" s="223">
        <v>216715</v>
      </c>
      <c r="F2888" s="181">
        <v>216715</v>
      </c>
      <c r="G2888" s="148">
        <f t="shared" si="65"/>
        <v>0</v>
      </c>
      <c r="H2888" s="241"/>
    </row>
    <row r="2889" spans="1:8" ht="16.5">
      <c r="A2889" s="3">
        <f>IF(E2889="","",COUNTA($E$2729:E2889))</f>
        <v>126</v>
      </c>
      <c r="B2889" s="161" t="s">
        <v>3042</v>
      </c>
      <c r="C2889" s="57" t="s">
        <v>2977</v>
      </c>
      <c r="D2889" s="245"/>
      <c r="E2889" s="223">
        <v>339375</v>
      </c>
      <c r="F2889" s="181">
        <v>339375</v>
      </c>
      <c r="G2889" s="148">
        <f t="shared" si="65"/>
        <v>0</v>
      </c>
      <c r="H2889" s="241"/>
    </row>
    <row r="2890" spans="1:8" ht="16.5">
      <c r="A2890" s="3">
        <f>IF(E2890="","",COUNTA($E$2729:E2890))</f>
        <v>127</v>
      </c>
      <c r="B2890" s="161" t="s">
        <v>3043</v>
      </c>
      <c r="C2890" s="57" t="s">
        <v>2977</v>
      </c>
      <c r="D2890" s="246"/>
      <c r="E2890" s="223">
        <v>638909</v>
      </c>
      <c r="F2890" s="181">
        <v>638909</v>
      </c>
      <c r="G2890" s="148">
        <f t="shared" si="65"/>
        <v>0</v>
      </c>
      <c r="H2890" s="241"/>
    </row>
    <row r="2891" spans="1:8" ht="49.5">
      <c r="A2891" s="3">
        <f>IF(E2891="","",COUNTA($E$2729:E2891))</f>
      </c>
      <c r="B2891" s="161" t="s">
        <v>3044</v>
      </c>
      <c r="C2891" s="57"/>
      <c r="E2891" s="223"/>
      <c r="F2891" s="181"/>
      <c r="G2891" s="148"/>
      <c r="H2891" s="241"/>
    </row>
    <row r="2892" spans="1:8" ht="33">
      <c r="A2892" s="3">
        <f>IF(E2892="","",COUNTA($E$2729:E2892))</f>
        <v>128</v>
      </c>
      <c r="B2892" s="161" t="s">
        <v>3045</v>
      </c>
      <c r="C2892" s="57" t="s">
        <v>2977</v>
      </c>
      <c r="D2892" s="266" t="s">
        <v>3030</v>
      </c>
      <c r="E2892" s="223">
        <v>107433</v>
      </c>
      <c r="F2892" s="181">
        <v>107433</v>
      </c>
      <c r="G2892" s="148">
        <f t="shared" si="65"/>
        <v>0</v>
      </c>
      <c r="H2892" s="241"/>
    </row>
    <row r="2893" spans="1:8" ht="33">
      <c r="A2893" s="3">
        <f>IF(E2893="","",COUNTA($E$2729:E2893))</f>
        <v>129</v>
      </c>
      <c r="B2893" s="161" t="s">
        <v>3046</v>
      </c>
      <c r="C2893" s="57" t="s">
        <v>2977</v>
      </c>
      <c r="D2893" s="266"/>
      <c r="E2893" s="223">
        <v>160225</v>
      </c>
      <c r="F2893" s="181">
        <v>160225</v>
      </c>
      <c r="G2893" s="148">
        <f t="shared" si="65"/>
        <v>0</v>
      </c>
      <c r="H2893" s="241"/>
    </row>
    <row r="2894" spans="1:8" ht="33">
      <c r="A2894" s="3">
        <f>IF(E2894="","",COUNTA($E$2729:E2894))</f>
        <v>130</v>
      </c>
      <c r="B2894" s="161" t="s">
        <v>3047</v>
      </c>
      <c r="C2894" s="57" t="s">
        <v>2977</v>
      </c>
      <c r="D2894" s="266"/>
      <c r="E2894" s="223">
        <v>238631</v>
      </c>
      <c r="F2894" s="181">
        <v>238631</v>
      </c>
      <c r="G2894" s="148">
        <f t="shared" si="65"/>
        <v>0</v>
      </c>
      <c r="H2894" s="241"/>
    </row>
    <row r="2895" spans="1:8" ht="33">
      <c r="A2895" s="3">
        <f>IF(E2895="","",COUNTA($E$2729:E2895))</f>
        <v>131</v>
      </c>
      <c r="B2895" s="161" t="s">
        <v>3048</v>
      </c>
      <c r="C2895" s="57" t="s">
        <v>2977</v>
      </c>
      <c r="D2895" s="266"/>
      <c r="E2895" s="223">
        <v>366555</v>
      </c>
      <c r="F2895" s="181">
        <v>366555</v>
      </c>
      <c r="G2895" s="148">
        <f t="shared" si="65"/>
        <v>0</v>
      </c>
      <c r="H2895" s="241"/>
    </row>
    <row r="2896" spans="1:8" ht="33">
      <c r="A2896" s="3">
        <f>IF(E2896="","",COUNTA($E$2729:E2896))</f>
        <v>132</v>
      </c>
      <c r="B2896" s="161" t="s">
        <v>3049</v>
      </c>
      <c r="C2896" s="57" t="s">
        <v>2977</v>
      </c>
      <c r="D2896" s="266"/>
      <c r="E2896" s="223">
        <v>678282</v>
      </c>
      <c r="F2896" s="181">
        <v>678282</v>
      </c>
      <c r="G2896" s="148">
        <f t="shared" si="65"/>
        <v>0</v>
      </c>
      <c r="H2896" s="241"/>
    </row>
    <row r="2897" spans="1:8" ht="33">
      <c r="A2897" s="3">
        <f>IF(E2897="","",COUNTA($E$2729:E2897))</f>
      </c>
      <c r="B2897" s="161" t="s">
        <v>3050</v>
      </c>
      <c r="C2897" s="57"/>
      <c r="D2897" s="164"/>
      <c r="E2897" s="223"/>
      <c r="F2897" s="181"/>
      <c r="G2897" s="148"/>
      <c r="H2897" s="241"/>
    </row>
    <row r="2898" spans="1:8" ht="17.25" customHeight="1">
      <c r="A2898" s="3">
        <f>IF(E2898="","",COUNTA($E$2729:E2898))</f>
        <v>133</v>
      </c>
      <c r="B2898" s="161" t="s">
        <v>3051</v>
      </c>
      <c r="C2898" s="57" t="s">
        <v>2977</v>
      </c>
      <c r="D2898" s="244" t="s">
        <v>3030</v>
      </c>
      <c r="E2898" s="223">
        <v>73282</v>
      </c>
      <c r="F2898" s="181">
        <v>73282</v>
      </c>
      <c r="G2898" s="148">
        <f t="shared" si="65"/>
        <v>0</v>
      </c>
      <c r="H2898" s="241"/>
    </row>
    <row r="2899" spans="1:8" ht="16.5">
      <c r="A2899" s="3">
        <f>IF(E2899="","",COUNTA($E$2729:E2899))</f>
        <v>134</v>
      </c>
      <c r="B2899" s="161" t="s">
        <v>3052</v>
      </c>
      <c r="C2899" s="57" t="s">
        <v>2977</v>
      </c>
      <c r="D2899" s="245"/>
      <c r="E2899" s="223">
        <v>102879</v>
      </c>
      <c r="F2899" s="181">
        <v>102879</v>
      </c>
      <c r="G2899" s="148">
        <f t="shared" si="65"/>
        <v>0</v>
      </c>
      <c r="H2899" s="241"/>
    </row>
    <row r="2900" spans="1:8" ht="16.5">
      <c r="A2900" s="3">
        <f>IF(E2900="","",COUNTA($E$2729:E2900))</f>
        <v>135</v>
      </c>
      <c r="B2900" s="161" t="s">
        <v>3053</v>
      </c>
      <c r="C2900" s="57" t="s">
        <v>2977</v>
      </c>
      <c r="D2900" s="245"/>
      <c r="E2900" s="223">
        <v>157948</v>
      </c>
      <c r="F2900" s="181">
        <v>157948</v>
      </c>
      <c r="G2900" s="148">
        <f t="shared" si="65"/>
        <v>0</v>
      </c>
      <c r="H2900" s="241"/>
    </row>
    <row r="2901" spans="1:8" ht="16.5">
      <c r="A2901" s="3">
        <f>IF(E2901="","",COUNTA($E$2729:E2901))</f>
        <v>136</v>
      </c>
      <c r="B2901" s="161" t="s">
        <v>3054</v>
      </c>
      <c r="C2901" s="57" t="s">
        <v>2977</v>
      </c>
      <c r="D2901" s="245"/>
      <c r="E2901" s="223">
        <v>244180</v>
      </c>
      <c r="F2901" s="181">
        <v>244180</v>
      </c>
      <c r="G2901" s="148">
        <f t="shared" si="65"/>
        <v>0</v>
      </c>
      <c r="H2901" s="241"/>
    </row>
    <row r="2902" spans="1:8" ht="16.5">
      <c r="A2902" s="3">
        <f>IF(E2902="","",COUNTA($E$2729:E2902))</f>
        <v>137</v>
      </c>
      <c r="B2902" s="161" t="s">
        <v>3055</v>
      </c>
      <c r="C2902" s="57" t="s">
        <v>2977</v>
      </c>
      <c r="D2902" s="245"/>
      <c r="E2902" s="223">
        <v>381922</v>
      </c>
      <c r="F2902" s="181">
        <v>381922</v>
      </c>
      <c r="G2902" s="148">
        <f t="shared" si="65"/>
        <v>0</v>
      </c>
      <c r="H2902" s="241"/>
    </row>
    <row r="2903" spans="1:8" ht="16.5">
      <c r="A2903" s="3">
        <f>IF(E2903="","",COUNTA($E$2729:E2903))</f>
        <v>138</v>
      </c>
      <c r="B2903" s="161" t="s">
        <v>3056</v>
      </c>
      <c r="C2903" s="57" t="s">
        <v>2977</v>
      </c>
      <c r="D2903" s="246"/>
      <c r="E2903" s="223">
        <v>510842</v>
      </c>
      <c r="F2903" s="181">
        <v>510842</v>
      </c>
      <c r="G2903" s="148">
        <f t="shared" si="65"/>
        <v>0</v>
      </c>
      <c r="H2903" s="241"/>
    </row>
    <row r="2904" spans="1:8" ht="33">
      <c r="A2904" s="3">
        <f>IF(E2904="","",COUNTA($E$2729:E2904))</f>
      </c>
      <c r="B2904" s="161" t="s">
        <v>3057</v>
      </c>
      <c r="C2904" s="57"/>
      <c r="E2904" s="223"/>
      <c r="F2904" s="181"/>
      <c r="G2904" s="148"/>
      <c r="H2904" s="241"/>
    </row>
    <row r="2905" spans="1:8" ht="33">
      <c r="A2905" s="3">
        <f>IF(E2905="","",COUNTA($E$2729:E2905))</f>
        <v>139</v>
      </c>
      <c r="B2905" s="161" t="s">
        <v>3058</v>
      </c>
      <c r="C2905" s="57" t="s">
        <v>2977</v>
      </c>
      <c r="D2905" s="244" t="s">
        <v>3030</v>
      </c>
      <c r="E2905" s="223">
        <v>76271</v>
      </c>
      <c r="F2905" s="181">
        <v>76271</v>
      </c>
      <c r="G2905" s="148">
        <f t="shared" si="65"/>
        <v>0</v>
      </c>
      <c r="H2905" s="241"/>
    </row>
    <row r="2906" spans="1:8" ht="33">
      <c r="A2906" s="3">
        <f>IF(E2906="","",COUNTA($E$2729:E2906))</f>
        <v>140</v>
      </c>
      <c r="B2906" s="161" t="s">
        <v>3059</v>
      </c>
      <c r="C2906" s="57" t="s">
        <v>2977</v>
      </c>
      <c r="D2906" s="245"/>
      <c r="E2906" s="223">
        <v>107093</v>
      </c>
      <c r="F2906" s="181">
        <v>107093</v>
      </c>
      <c r="G2906" s="148">
        <f t="shared" si="65"/>
        <v>0</v>
      </c>
      <c r="H2906" s="241"/>
    </row>
    <row r="2907" spans="1:8" ht="33">
      <c r="A2907" s="3">
        <f>IF(E2907="","",COUNTA($E$2729:E2907))</f>
        <v>141</v>
      </c>
      <c r="B2907" s="161" t="s">
        <v>3060</v>
      </c>
      <c r="C2907" s="57" t="s">
        <v>2977</v>
      </c>
      <c r="D2907" s="245"/>
      <c r="E2907" s="223">
        <v>162074</v>
      </c>
      <c r="F2907" s="181">
        <v>162074</v>
      </c>
      <c r="G2907" s="148">
        <f t="shared" si="65"/>
        <v>0</v>
      </c>
      <c r="H2907" s="241"/>
    </row>
    <row r="2908" spans="1:8" ht="33">
      <c r="A2908" s="3">
        <f>IF(E2908="","",COUNTA($E$2729:E2908))</f>
        <v>142</v>
      </c>
      <c r="B2908" s="161" t="s">
        <v>3061</v>
      </c>
      <c r="C2908" s="57" t="s">
        <v>2977</v>
      </c>
      <c r="D2908" s="245"/>
      <c r="E2908" s="223">
        <v>251846</v>
      </c>
      <c r="F2908" s="181">
        <v>251846</v>
      </c>
      <c r="G2908" s="148">
        <f t="shared" si="65"/>
        <v>0</v>
      </c>
      <c r="H2908" s="241"/>
    </row>
    <row r="2909" spans="1:8" ht="33">
      <c r="A2909" s="3">
        <f>IF(E2909="","",COUNTA($E$2729:E2909))</f>
        <v>143</v>
      </c>
      <c r="B2909" s="161" t="s">
        <v>3062</v>
      </c>
      <c r="C2909" s="57" t="s">
        <v>2977</v>
      </c>
      <c r="D2909" s="245"/>
      <c r="E2909" s="223">
        <v>388610</v>
      </c>
      <c r="F2909" s="181">
        <v>388610</v>
      </c>
      <c r="G2909" s="148">
        <f t="shared" si="65"/>
        <v>0</v>
      </c>
      <c r="H2909" s="241"/>
    </row>
    <row r="2910" spans="1:8" ht="33">
      <c r="A2910" s="3">
        <f>IF(E2910="","",COUNTA($E$2729:E2910))</f>
        <v>144</v>
      </c>
      <c r="B2910" s="161" t="s">
        <v>3063</v>
      </c>
      <c r="C2910" s="57" t="s">
        <v>2977</v>
      </c>
      <c r="D2910" s="246"/>
      <c r="E2910" s="223">
        <v>753303</v>
      </c>
      <c r="F2910" s="181">
        <v>753303</v>
      </c>
      <c r="G2910" s="148">
        <f t="shared" si="65"/>
        <v>0</v>
      </c>
      <c r="H2910" s="241"/>
    </row>
    <row r="2911" spans="1:8" ht="17.25">
      <c r="A2911" s="3">
        <f>IF(E2911="","",COUNTA($E$2727:E2911))</f>
      </c>
      <c r="B2911" s="39" t="s">
        <v>1493</v>
      </c>
      <c r="C2911" s="93"/>
      <c r="E2911" s="90"/>
      <c r="F2911" s="90"/>
      <c r="G2911" s="125"/>
      <c r="H2911" s="247" t="s">
        <v>1216</v>
      </c>
    </row>
    <row r="2912" spans="1:8" ht="33">
      <c r="A2912" s="3">
        <f>IF(E2912="","",COUNTA($E$2727:E2912))</f>
        <v>145</v>
      </c>
      <c r="B2912" s="40" t="s">
        <v>1477</v>
      </c>
      <c r="C2912" s="141" t="s">
        <v>1950</v>
      </c>
      <c r="E2912" s="89">
        <v>7100000</v>
      </c>
      <c r="F2912" s="89">
        <v>7100000</v>
      </c>
      <c r="G2912" s="125">
        <f aca="true" t="shared" si="66" ref="G2912:G2931">(E2912-F2912)/E2912</f>
        <v>0</v>
      </c>
      <c r="H2912" s="247"/>
    </row>
    <row r="2913" spans="1:8" ht="33">
      <c r="A2913" s="3">
        <f>IF(E2913="","",COUNTA($E$2727:E2913))</f>
        <v>146</v>
      </c>
      <c r="B2913" s="40" t="s">
        <v>1478</v>
      </c>
      <c r="C2913" s="141" t="s">
        <v>1950</v>
      </c>
      <c r="E2913" s="89">
        <v>7388000</v>
      </c>
      <c r="F2913" s="89">
        <v>7388000</v>
      </c>
      <c r="G2913" s="125">
        <f t="shared" si="66"/>
        <v>0</v>
      </c>
      <c r="H2913" s="247"/>
    </row>
    <row r="2914" spans="1:8" ht="33">
      <c r="A2914" s="3">
        <f>IF(E2914="","",COUNTA($E$2727:E2914))</f>
        <v>147</v>
      </c>
      <c r="B2914" s="40" t="s">
        <v>1479</v>
      </c>
      <c r="C2914" s="141" t="s">
        <v>1950</v>
      </c>
      <c r="E2914" s="89">
        <v>7420000</v>
      </c>
      <c r="F2914" s="89">
        <v>7420000</v>
      </c>
      <c r="G2914" s="125">
        <f t="shared" si="66"/>
        <v>0</v>
      </c>
      <c r="H2914" s="247"/>
    </row>
    <row r="2915" spans="1:8" ht="33">
      <c r="A2915" s="3">
        <f>IF(E2915="","",COUNTA($E$2727:E2915))</f>
        <v>148</v>
      </c>
      <c r="B2915" s="40" t="s">
        <v>1480</v>
      </c>
      <c r="C2915" s="141" t="s">
        <v>1950</v>
      </c>
      <c r="E2915" s="89">
        <v>8240000</v>
      </c>
      <c r="F2915" s="89">
        <v>8240000</v>
      </c>
      <c r="G2915" s="125">
        <f t="shared" si="66"/>
        <v>0</v>
      </c>
      <c r="H2915" s="247"/>
    </row>
    <row r="2916" spans="1:8" ht="33">
      <c r="A2916" s="3">
        <f>IF(E2916="","",COUNTA($E$2727:E2916))</f>
        <v>149</v>
      </c>
      <c r="B2916" s="40" t="s">
        <v>1481</v>
      </c>
      <c r="C2916" s="141" t="s">
        <v>1950</v>
      </c>
      <c r="E2916" s="89">
        <v>8750000</v>
      </c>
      <c r="F2916" s="89">
        <v>8750000</v>
      </c>
      <c r="G2916" s="125">
        <f t="shared" si="66"/>
        <v>0</v>
      </c>
      <c r="H2916" s="247"/>
    </row>
    <row r="2917" spans="1:8" ht="33">
      <c r="A2917" s="3">
        <f>IF(E2917="","",COUNTA($E$2727:E2917))</f>
        <v>150</v>
      </c>
      <c r="B2917" s="40" t="s">
        <v>1482</v>
      </c>
      <c r="C2917" s="141" t="s">
        <v>1950</v>
      </c>
      <c r="E2917" s="89">
        <v>8800000</v>
      </c>
      <c r="F2917" s="89">
        <v>8800000</v>
      </c>
      <c r="G2917" s="125">
        <f t="shared" si="66"/>
        <v>0</v>
      </c>
      <c r="H2917" s="247"/>
    </row>
    <row r="2918" spans="1:8" ht="33">
      <c r="A2918" s="3">
        <f>IF(E2918="","",COUNTA($E$2727:E2918))</f>
        <v>151</v>
      </c>
      <c r="B2918" s="40" t="s">
        <v>1483</v>
      </c>
      <c r="C2918" s="141" t="s">
        <v>1950</v>
      </c>
      <c r="E2918" s="89">
        <v>9650000</v>
      </c>
      <c r="F2918" s="89">
        <v>9650000</v>
      </c>
      <c r="G2918" s="125">
        <f t="shared" si="66"/>
        <v>0</v>
      </c>
      <c r="H2918" s="247"/>
    </row>
    <row r="2919" spans="1:8" ht="33">
      <c r="A2919" s="3">
        <f>IF(E2919="","",COUNTA($E$2727:E2919))</f>
        <v>152</v>
      </c>
      <c r="B2919" s="40" t="s">
        <v>1484</v>
      </c>
      <c r="C2919" s="141" t="s">
        <v>1950</v>
      </c>
      <c r="E2919" s="89">
        <v>11450000</v>
      </c>
      <c r="F2919" s="89">
        <v>11450000</v>
      </c>
      <c r="G2919" s="125">
        <f t="shared" si="66"/>
        <v>0</v>
      </c>
      <c r="H2919" s="247"/>
    </row>
    <row r="2920" spans="1:8" ht="33">
      <c r="A2920" s="3">
        <f>IF(E2920="","",COUNTA($E$2727:E2920))</f>
        <v>153</v>
      </c>
      <c r="B2920" s="40" t="s">
        <v>1485</v>
      </c>
      <c r="C2920" s="141" t="s">
        <v>1950</v>
      </c>
      <c r="E2920" s="89">
        <v>12450000</v>
      </c>
      <c r="F2920" s="89">
        <v>12450000</v>
      </c>
      <c r="G2920" s="125">
        <f t="shared" si="66"/>
        <v>0</v>
      </c>
      <c r="H2920" s="247"/>
    </row>
    <row r="2921" spans="1:8" ht="17.25">
      <c r="A2921" s="3">
        <f>IF(E2921="","",COUNTA($E$2727:E2921))</f>
      </c>
      <c r="B2921" s="39" t="s">
        <v>1494</v>
      </c>
      <c r="C2921" s="93"/>
      <c r="E2921" s="90"/>
      <c r="F2921" s="90"/>
      <c r="G2921" s="125"/>
      <c r="H2921" s="247" t="s">
        <v>1215</v>
      </c>
    </row>
    <row r="2922" spans="1:8" ht="33">
      <c r="A2922" s="3">
        <f>IF(E2922="","",COUNTA($E$2727:E2922))</f>
        <v>154</v>
      </c>
      <c r="B2922" s="40" t="s">
        <v>1486</v>
      </c>
      <c r="C2922" s="141" t="s">
        <v>1950</v>
      </c>
      <c r="E2922" s="89">
        <v>12751000</v>
      </c>
      <c r="F2922" s="89">
        <v>12751000</v>
      </c>
      <c r="G2922" s="125">
        <f t="shared" si="66"/>
        <v>0</v>
      </c>
      <c r="H2922" s="247"/>
    </row>
    <row r="2923" spans="1:8" ht="33">
      <c r="A2923" s="3">
        <f>IF(E2923="","",COUNTA($E$2727:E2923))</f>
        <v>155</v>
      </c>
      <c r="B2923" s="40" t="s">
        <v>1487</v>
      </c>
      <c r="C2923" s="141" t="s">
        <v>1950</v>
      </c>
      <c r="E2923" s="89">
        <v>14099700</v>
      </c>
      <c r="F2923" s="89">
        <v>14099700</v>
      </c>
      <c r="G2923" s="125">
        <f t="shared" si="66"/>
        <v>0</v>
      </c>
      <c r="H2923" s="247"/>
    </row>
    <row r="2924" spans="1:8" ht="33">
      <c r="A2924" s="3">
        <f>IF(E2924="","",COUNTA($E$2727:E2924))</f>
        <v>156</v>
      </c>
      <c r="B2924" s="40" t="s">
        <v>1488</v>
      </c>
      <c r="C2924" s="141" t="s">
        <v>1950</v>
      </c>
      <c r="E2924" s="89">
        <v>14345000</v>
      </c>
      <c r="F2924" s="89">
        <v>14345000</v>
      </c>
      <c r="G2924" s="125">
        <f t="shared" si="66"/>
        <v>0</v>
      </c>
      <c r="H2924" s="247"/>
    </row>
    <row r="2925" spans="1:8" ht="33">
      <c r="A2925" s="3">
        <f>IF(E2925="","",COUNTA($E$2727:E2925))</f>
        <v>157</v>
      </c>
      <c r="B2925" s="40" t="s">
        <v>1489</v>
      </c>
      <c r="C2925" s="141" t="s">
        <v>1950</v>
      </c>
      <c r="E2925" s="89">
        <v>15075700</v>
      </c>
      <c r="F2925" s="89">
        <v>15075700</v>
      </c>
      <c r="G2925" s="125">
        <f t="shared" si="66"/>
        <v>0</v>
      </c>
      <c r="H2925" s="247"/>
    </row>
    <row r="2926" spans="1:8" ht="33">
      <c r="A2926" s="3">
        <f>IF(E2926="","",COUNTA($E$2727:E2926))</f>
        <v>158</v>
      </c>
      <c r="B2926" s="40" t="s">
        <v>1490</v>
      </c>
      <c r="C2926" s="141" t="s">
        <v>1950</v>
      </c>
      <c r="E2926" s="89">
        <v>15218700</v>
      </c>
      <c r="F2926" s="89">
        <v>15218700</v>
      </c>
      <c r="G2926" s="125">
        <f t="shared" si="66"/>
        <v>0</v>
      </c>
      <c r="H2926" s="247"/>
    </row>
    <row r="2927" spans="1:8" ht="33">
      <c r="A2927" s="3">
        <f>IF(E2927="","",COUNTA($E$2727:E2927))</f>
        <v>159</v>
      </c>
      <c r="B2927" s="40" t="s">
        <v>1491</v>
      </c>
      <c r="C2927" s="141" t="s">
        <v>1950</v>
      </c>
      <c r="E2927" s="89">
        <v>15258000</v>
      </c>
      <c r="F2927" s="89">
        <v>15258000</v>
      </c>
      <c r="G2927" s="125">
        <f t="shared" si="66"/>
        <v>0</v>
      </c>
      <c r="H2927" s="247"/>
    </row>
    <row r="2928" spans="1:8" ht="33">
      <c r="A2928" s="3">
        <f>IF(E2928="","",COUNTA($E$2727:E2928))</f>
        <v>160</v>
      </c>
      <c r="B2928" s="40" t="s">
        <v>1492</v>
      </c>
      <c r="C2928" s="141" t="s">
        <v>1950</v>
      </c>
      <c r="E2928" s="89">
        <v>19319300</v>
      </c>
      <c r="F2928" s="89">
        <v>19319300</v>
      </c>
      <c r="G2928" s="125">
        <f t="shared" si="66"/>
        <v>0</v>
      </c>
      <c r="H2928" s="247"/>
    </row>
    <row r="2929" spans="1:8" ht="34.5">
      <c r="A2929" s="3">
        <f>IF(E2929="","",COUNTA($E$2727:E2929))</f>
      </c>
      <c r="B2929" s="39" t="s">
        <v>1584</v>
      </c>
      <c r="C2929" s="93"/>
      <c r="E2929" s="90"/>
      <c r="F2929" s="90"/>
      <c r="G2929" s="125"/>
      <c r="H2929" s="247" t="s">
        <v>1219</v>
      </c>
    </row>
    <row r="2930" spans="1:8" ht="56.25" customHeight="1">
      <c r="A2930" s="3">
        <f>IF(E2930="","",COUNTA($E$2727:E2930))</f>
        <v>161</v>
      </c>
      <c r="B2930" s="40" t="s">
        <v>1596</v>
      </c>
      <c r="C2930" s="141" t="s">
        <v>1950</v>
      </c>
      <c r="D2930" s="263" t="s">
        <v>1607</v>
      </c>
      <c r="E2930" s="89">
        <v>122414.08</v>
      </c>
      <c r="F2930" s="89">
        <v>122414.08</v>
      </c>
      <c r="G2930" s="125">
        <f t="shared" si="66"/>
        <v>0</v>
      </c>
      <c r="H2930" s="247"/>
    </row>
    <row r="2931" spans="1:8" ht="49.5">
      <c r="A2931" s="3">
        <f>IF(E2931="","",COUNTA($E$2727:E2931))</f>
        <v>162</v>
      </c>
      <c r="B2931" s="40" t="s">
        <v>1597</v>
      </c>
      <c r="C2931" s="141" t="s">
        <v>1950</v>
      </c>
      <c r="D2931" s="264"/>
      <c r="E2931" s="89">
        <v>150457.6</v>
      </c>
      <c r="F2931" s="89">
        <v>150457.6</v>
      </c>
      <c r="G2931" s="125">
        <f t="shared" si="66"/>
        <v>0</v>
      </c>
      <c r="H2931" s="247"/>
    </row>
    <row r="2932" spans="1:8" ht="49.5">
      <c r="A2932" s="3">
        <f>IF(E2932="","",COUNTA($E$2727:E2932))</f>
        <v>163</v>
      </c>
      <c r="B2932" s="40" t="s">
        <v>1598</v>
      </c>
      <c r="C2932" s="141" t="s">
        <v>1950</v>
      </c>
      <c r="D2932" s="264"/>
      <c r="E2932" s="89">
        <v>154414.08000000002</v>
      </c>
      <c r="F2932" s="89">
        <v>154414.08000000002</v>
      </c>
      <c r="G2932" s="125">
        <f aca="true" t="shared" si="67" ref="G2932:G2995">(E2932-F2932)/E2932</f>
        <v>0</v>
      </c>
      <c r="H2932" s="247"/>
    </row>
    <row r="2933" spans="1:8" ht="49.5">
      <c r="A2933" s="3">
        <f>IF(E2933="","",COUNTA($E$2727:E2933))</f>
        <v>164</v>
      </c>
      <c r="B2933" s="40" t="s">
        <v>1599</v>
      </c>
      <c r="C2933" s="141" t="s">
        <v>1950</v>
      </c>
      <c r="D2933" s="264"/>
      <c r="E2933" s="89">
        <v>182342.4</v>
      </c>
      <c r="F2933" s="89">
        <v>182342.4</v>
      </c>
      <c r="G2933" s="125">
        <f t="shared" si="67"/>
        <v>0</v>
      </c>
      <c r="H2933" s="247"/>
    </row>
    <row r="2934" spans="1:8" ht="49.5">
      <c r="A2934" s="3">
        <f>IF(E2934="","",COUNTA($E$2727:E2934))</f>
        <v>165</v>
      </c>
      <c r="B2934" s="40" t="s">
        <v>1600</v>
      </c>
      <c r="C2934" s="141" t="s">
        <v>1950</v>
      </c>
      <c r="D2934" s="265"/>
      <c r="E2934" s="89">
        <v>246457.6</v>
      </c>
      <c r="F2934" s="89">
        <v>246457.6</v>
      </c>
      <c r="G2934" s="125">
        <f t="shared" si="67"/>
        <v>0</v>
      </c>
      <c r="H2934" s="247"/>
    </row>
    <row r="2935" spans="1:8" ht="56.25" customHeight="1">
      <c r="A2935" s="3">
        <f>IF(E2935="","",COUNTA($E$2727:E2935))</f>
        <v>166</v>
      </c>
      <c r="B2935" s="40" t="s">
        <v>1601</v>
      </c>
      <c r="C2935" s="141" t="s">
        <v>1950</v>
      </c>
      <c r="D2935" s="263" t="s">
        <v>1608</v>
      </c>
      <c r="E2935" s="89">
        <v>150000</v>
      </c>
      <c r="F2935" s="89">
        <v>150000</v>
      </c>
      <c r="G2935" s="125">
        <f t="shared" si="67"/>
        <v>0</v>
      </c>
      <c r="H2935" s="247"/>
    </row>
    <row r="2936" spans="1:8" ht="49.5">
      <c r="A2936" s="3">
        <f>IF(E2936="","",COUNTA($E$2727:E2936))</f>
        <v>167</v>
      </c>
      <c r="B2936" s="40" t="s">
        <v>1602</v>
      </c>
      <c r="C2936" s="141" t="s">
        <v>1950</v>
      </c>
      <c r="D2936" s="264"/>
      <c r="E2936" s="89">
        <v>216954</v>
      </c>
      <c r="F2936" s="89">
        <v>216954</v>
      </c>
      <c r="G2936" s="125">
        <f t="shared" si="67"/>
        <v>0</v>
      </c>
      <c r="H2936" s="247"/>
    </row>
    <row r="2937" spans="1:8" ht="66">
      <c r="A2937" s="3">
        <f>IF(E2937="","",COUNTA($E$2727:E2937))</f>
        <v>168</v>
      </c>
      <c r="B2937" s="40" t="s">
        <v>1603</v>
      </c>
      <c r="C2937" s="141" t="s">
        <v>1944</v>
      </c>
      <c r="D2937" s="264"/>
      <c r="E2937" s="89">
        <v>271363.5</v>
      </c>
      <c r="F2937" s="89">
        <v>271363.5</v>
      </c>
      <c r="G2937" s="125">
        <f t="shared" si="67"/>
        <v>0</v>
      </c>
      <c r="H2937" s="247"/>
    </row>
    <row r="2938" spans="1:8" ht="49.5">
      <c r="A2938" s="3">
        <f>IF(E2938="","",COUNTA($E$2727:E2938))</f>
        <v>169</v>
      </c>
      <c r="B2938" s="40" t="s">
        <v>1604</v>
      </c>
      <c r="C2938" s="141" t="s">
        <v>1950</v>
      </c>
      <c r="D2938" s="264"/>
      <c r="E2938" s="89">
        <v>192625.5</v>
      </c>
      <c r="F2938" s="89">
        <v>192625.5</v>
      </c>
      <c r="G2938" s="125">
        <f t="shared" si="67"/>
        <v>0</v>
      </c>
      <c r="H2938" s="247"/>
    </row>
    <row r="2939" spans="1:8" ht="49.5">
      <c r="A2939" s="3">
        <f>IF(E2939="","",COUNTA($E$2727:E2939))</f>
        <v>170</v>
      </c>
      <c r="B2939" s="40" t="s">
        <v>1605</v>
      </c>
      <c r="C2939" s="141" t="s">
        <v>1950</v>
      </c>
      <c r="D2939" s="264"/>
      <c r="E2939" s="89">
        <v>308727</v>
      </c>
      <c r="F2939" s="89">
        <v>308727</v>
      </c>
      <c r="G2939" s="125">
        <f t="shared" si="67"/>
        <v>0</v>
      </c>
      <c r="H2939" s="247"/>
    </row>
    <row r="2940" spans="1:8" ht="49.5">
      <c r="A2940" s="3">
        <f>IF(E2940="","",COUNTA($E$2727:E2940))</f>
        <v>171</v>
      </c>
      <c r="B2940" s="40" t="s">
        <v>1606</v>
      </c>
      <c r="C2940" s="141" t="s">
        <v>1944</v>
      </c>
      <c r="D2940" s="265"/>
      <c r="E2940" s="89">
        <v>244090.5</v>
      </c>
      <c r="F2940" s="89">
        <v>244090.5</v>
      </c>
      <c r="G2940" s="125">
        <f t="shared" si="67"/>
        <v>0</v>
      </c>
      <c r="H2940" s="247"/>
    </row>
    <row r="2941" spans="1:8" ht="34.5">
      <c r="A2941" s="3">
        <f>IF(E2941="","",COUNTA($E$2727:E2941))</f>
      </c>
      <c r="B2941" s="39" t="s">
        <v>1583</v>
      </c>
      <c r="C2941" s="141"/>
      <c r="E2941" s="89"/>
      <c r="F2941" s="89"/>
      <c r="G2941" s="125" t="e">
        <f t="shared" si="67"/>
        <v>#DIV/0!</v>
      </c>
      <c r="H2941" s="247"/>
    </row>
    <row r="2942" spans="1:8" ht="49.5">
      <c r="A2942" s="3">
        <f>IF(E2942="","",COUNTA($E$2727:E2942))</f>
        <v>172</v>
      </c>
      <c r="B2942" s="40" t="s">
        <v>1609</v>
      </c>
      <c r="C2942" s="141" t="s">
        <v>1950</v>
      </c>
      <c r="D2942" s="263" t="s">
        <v>1610</v>
      </c>
      <c r="E2942" s="89">
        <v>2877000</v>
      </c>
      <c r="F2942" s="89">
        <v>2877000</v>
      </c>
      <c r="G2942" s="125">
        <f t="shared" si="67"/>
        <v>0</v>
      </c>
      <c r="H2942" s="247"/>
    </row>
    <row r="2943" spans="1:8" ht="49.5">
      <c r="A2943" s="3">
        <f>IF(E2943="","",COUNTA($E$2727:E2943))</f>
        <v>173</v>
      </c>
      <c r="B2943" s="40" t="s">
        <v>1611</v>
      </c>
      <c r="C2943" s="141" t="s">
        <v>1950</v>
      </c>
      <c r="D2943" s="264"/>
      <c r="E2943" s="89">
        <v>4739000</v>
      </c>
      <c r="F2943" s="89">
        <v>4739000</v>
      </c>
      <c r="G2943" s="125">
        <f t="shared" si="67"/>
        <v>0</v>
      </c>
      <c r="H2943" s="247"/>
    </row>
    <row r="2944" spans="1:8" ht="49.5">
      <c r="A2944" s="3">
        <f>IF(E2944="","",COUNTA($E$2727:E2944))</f>
        <v>174</v>
      </c>
      <c r="B2944" s="40" t="s">
        <v>1612</v>
      </c>
      <c r="C2944" s="141" t="s">
        <v>1950</v>
      </c>
      <c r="D2944" s="264"/>
      <c r="E2944" s="89">
        <v>4908000</v>
      </c>
      <c r="F2944" s="89">
        <v>4908000</v>
      </c>
      <c r="G2944" s="125">
        <f t="shared" si="67"/>
        <v>0</v>
      </c>
      <c r="H2944" s="247"/>
    </row>
    <row r="2945" spans="1:8" ht="49.5">
      <c r="A2945" s="3">
        <f>IF(E2945="","",COUNTA($E$2727:E2945))</f>
        <v>175</v>
      </c>
      <c r="B2945" s="40" t="s">
        <v>1613</v>
      </c>
      <c r="C2945" s="141" t="s">
        <v>1950</v>
      </c>
      <c r="D2945" s="265"/>
      <c r="E2945" s="89">
        <v>5445000</v>
      </c>
      <c r="F2945" s="89">
        <v>5445000</v>
      </c>
      <c r="G2945" s="125">
        <f t="shared" si="67"/>
        <v>0</v>
      </c>
      <c r="H2945" s="247"/>
    </row>
    <row r="2946" spans="1:8" ht="33">
      <c r="A2946" s="3">
        <f>IF(E2946="","",COUNTA($E$2727:E2946))</f>
        <v>176</v>
      </c>
      <c r="B2946" s="40" t="s">
        <v>1614</v>
      </c>
      <c r="C2946" s="141" t="s">
        <v>1950</v>
      </c>
      <c r="D2946" s="262" t="s">
        <v>1618</v>
      </c>
      <c r="E2946" s="89">
        <v>1938000</v>
      </c>
      <c r="F2946" s="89">
        <v>1938000</v>
      </c>
      <c r="G2946" s="125">
        <f t="shared" si="67"/>
        <v>0</v>
      </c>
      <c r="H2946" s="247"/>
    </row>
    <row r="2947" spans="1:8" ht="33">
      <c r="A2947" s="3">
        <f>IF(E2947="","",COUNTA($E$2727:E2947))</f>
        <v>177</v>
      </c>
      <c r="B2947" s="40" t="s">
        <v>1615</v>
      </c>
      <c r="C2947" s="141" t="s">
        <v>1950</v>
      </c>
      <c r="D2947" s="262"/>
      <c r="E2947" s="89">
        <v>1978000</v>
      </c>
      <c r="F2947" s="89">
        <v>1978000</v>
      </c>
      <c r="G2947" s="125">
        <f t="shared" si="67"/>
        <v>0</v>
      </c>
      <c r="H2947" s="247"/>
    </row>
    <row r="2948" spans="1:8" ht="33">
      <c r="A2948" s="3">
        <f>IF(E2948="","",COUNTA($E$2727:E2948))</f>
        <v>178</v>
      </c>
      <c r="B2948" s="40" t="s">
        <v>1616</v>
      </c>
      <c r="C2948" s="141" t="s">
        <v>1950</v>
      </c>
      <c r="D2948" s="262"/>
      <c r="E2948" s="89">
        <v>1996000</v>
      </c>
      <c r="F2948" s="89">
        <v>1996000</v>
      </c>
      <c r="G2948" s="125">
        <f t="shared" si="67"/>
        <v>0</v>
      </c>
      <c r="H2948" s="247"/>
    </row>
    <row r="2949" spans="1:8" ht="33">
      <c r="A2949" s="3">
        <f>IF(E2949="","",COUNTA($E$2727:E2949))</f>
        <v>179</v>
      </c>
      <c r="B2949" s="40" t="s">
        <v>1617</v>
      </c>
      <c r="C2949" s="141" t="s">
        <v>1950</v>
      </c>
      <c r="D2949" s="262" t="s">
        <v>1618</v>
      </c>
      <c r="E2949" s="89">
        <v>4668000</v>
      </c>
      <c r="F2949" s="89">
        <v>4668000</v>
      </c>
      <c r="G2949" s="125">
        <f t="shared" si="67"/>
        <v>0</v>
      </c>
      <c r="H2949" s="247"/>
    </row>
    <row r="2950" spans="1:8" ht="33">
      <c r="A2950" s="3">
        <f>IF(E2950="","",COUNTA($E$2727:E2950))</f>
        <v>180</v>
      </c>
      <c r="B2950" s="40" t="s">
        <v>1619</v>
      </c>
      <c r="C2950" s="141" t="s">
        <v>1950</v>
      </c>
      <c r="D2950" s="262"/>
      <c r="E2950" s="89">
        <v>6703000</v>
      </c>
      <c r="F2950" s="89">
        <v>6703000</v>
      </c>
      <c r="G2950" s="125">
        <f t="shared" si="67"/>
        <v>0</v>
      </c>
      <c r="H2950" s="247"/>
    </row>
    <row r="2951" spans="1:8" ht="33">
      <c r="A2951" s="3">
        <f>IF(E2951="","",COUNTA($E$2727:E2951))</f>
        <v>181</v>
      </c>
      <c r="B2951" s="40" t="s">
        <v>1620</v>
      </c>
      <c r="C2951" s="141" t="s">
        <v>1950</v>
      </c>
      <c r="D2951" s="262"/>
      <c r="E2951" s="89">
        <v>6767000</v>
      </c>
      <c r="F2951" s="89">
        <v>6767000</v>
      </c>
      <c r="G2951" s="125">
        <f t="shared" si="67"/>
        <v>0</v>
      </c>
      <c r="H2951" s="247"/>
    </row>
    <row r="2952" spans="1:8" ht="33">
      <c r="A2952" s="3">
        <f>IF(E2952="","",COUNTA($E$2727:E2952))</f>
        <v>182</v>
      </c>
      <c r="B2952" s="40" t="s">
        <v>1621</v>
      </c>
      <c r="C2952" s="141" t="s">
        <v>1950</v>
      </c>
      <c r="D2952" s="262" t="s">
        <v>1622</v>
      </c>
      <c r="E2952" s="89">
        <v>1919000</v>
      </c>
      <c r="F2952" s="89">
        <v>1919000</v>
      </c>
      <c r="G2952" s="125">
        <f t="shared" si="67"/>
        <v>0</v>
      </c>
      <c r="H2952" s="247"/>
    </row>
    <row r="2953" spans="1:8" ht="33">
      <c r="A2953" s="3">
        <f>IF(E2953="","",COUNTA($E$2727:E2953))</f>
        <v>183</v>
      </c>
      <c r="B2953" s="40" t="s">
        <v>1623</v>
      </c>
      <c r="C2953" s="141" t="s">
        <v>1950</v>
      </c>
      <c r="D2953" s="262"/>
      <c r="E2953" s="89">
        <v>4668000</v>
      </c>
      <c r="F2953" s="89">
        <v>4668000</v>
      </c>
      <c r="G2953" s="125">
        <f t="shared" si="67"/>
        <v>0</v>
      </c>
      <c r="H2953" s="247"/>
    </row>
    <row r="2954" spans="1:8" ht="33">
      <c r="A2954" s="3">
        <f>IF(E2954="","",COUNTA($E$2727:E2954))</f>
        <v>184</v>
      </c>
      <c r="B2954" s="40" t="s">
        <v>1624</v>
      </c>
      <c r="C2954" s="141" t="s">
        <v>1950</v>
      </c>
      <c r="D2954" s="262"/>
      <c r="E2954" s="89">
        <v>6228000</v>
      </c>
      <c r="F2954" s="89">
        <v>6228000</v>
      </c>
      <c r="G2954" s="125">
        <f t="shared" si="67"/>
        <v>0</v>
      </c>
      <c r="H2954" s="247"/>
    </row>
    <row r="2955" spans="1:8" ht="33">
      <c r="A2955" s="3">
        <f>IF(E2955="","",COUNTA($E$2727:E2955))</f>
        <v>185</v>
      </c>
      <c r="B2955" s="40" t="s">
        <v>1625</v>
      </c>
      <c r="C2955" s="141" t="s">
        <v>1950</v>
      </c>
      <c r="D2955" s="262"/>
      <c r="E2955" s="89">
        <v>7430000</v>
      </c>
      <c r="F2955" s="89">
        <v>7430000</v>
      </c>
      <c r="G2955" s="125">
        <f t="shared" si="67"/>
        <v>0</v>
      </c>
      <c r="H2955" s="247"/>
    </row>
    <row r="2956" spans="1:8" ht="47.25" customHeight="1">
      <c r="A2956" s="3">
        <f>IF(E2956="","",COUNTA($E$2727:E2956))</f>
        <v>186</v>
      </c>
      <c r="B2956" s="40" t="s">
        <v>1626</v>
      </c>
      <c r="C2956" s="141" t="s">
        <v>1950</v>
      </c>
      <c r="D2956" s="262" t="s">
        <v>939</v>
      </c>
      <c r="E2956" s="89">
        <v>7439000</v>
      </c>
      <c r="F2956" s="89">
        <v>7439000</v>
      </c>
      <c r="G2956" s="125">
        <f t="shared" si="67"/>
        <v>0</v>
      </c>
      <c r="H2956" s="247"/>
    </row>
    <row r="2957" spans="1:8" ht="45" customHeight="1">
      <c r="A2957" s="3">
        <f>IF(E2957="","",COUNTA($E$2727:E2957))</f>
        <v>187</v>
      </c>
      <c r="B2957" s="40" t="s">
        <v>1627</v>
      </c>
      <c r="C2957" s="141" t="s">
        <v>1950</v>
      </c>
      <c r="D2957" s="262"/>
      <c r="E2957" s="89">
        <v>7468000</v>
      </c>
      <c r="F2957" s="89">
        <v>7468000</v>
      </c>
      <c r="G2957" s="125">
        <f t="shared" si="67"/>
        <v>0</v>
      </c>
      <c r="H2957" s="247"/>
    </row>
    <row r="2958" spans="1:8" ht="52.5" customHeight="1">
      <c r="A2958" s="3">
        <f>IF(E2958="","",COUNTA($E$2727:E2958))</f>
        <v>188</v>
      </c>
      <c r="B2958" s="40" t="s">
        <v>1628</v>
      </c>
      <c r="C2958" s="141" t="s">
        <v>1950</v>
      </c>
      <c r="D2958" s="262"/>
      <c r="E2958" s="89">
        <v>7478000</v>
      </c>
      <c r="F2958" s="89">
        <v>7478000</v>
      </c>
      <c r="G2958" s="125">
        <f t="shared" si="67"/>
        <v>0</v>
      </c>
      <c r="H2958" s="247"/>
    </row>
    <row r="2959" spans="1:8" ht="33">
      <c r="A2959" s="3">
        <f>IF(E2959="","",COUNTA($E$2727:E2959))</f>
        <v>189</v>
      </c>
      <c r="B2959" s="40" t="s">
        <v>1629</v>
      </c>
      <c r="C2959" s="141" t="s">
        <v>1950</v>
      </c>
      <c r="D2959" s="263" t="s">
        <v>940</v>
      </c>
      <c r="E2959" s="89">
        <v>7488000</v>
      </c>
      <c r="F2959" s="89">
        <v>7488000</v>
      </c>
      <c r="G2959" s="125">
        <f t="shared" si="67"/>
        <v>0</v>
      </c>
      <c r="H2959" s="247"/>
    </row>
    <row r="2960" spans="1:8" ht="33">
      <c r="A2960" s="3">
        <f>IF(E2960="","",COUNTA($E$2727:E2960))</f>
        <v>190</v>
      </c>
      <c r="B2960" s="40" t="s">
        <v>1630</v>
      </c>
      <c r="C2960" s="141" t="s">
        <v>1950</v>
      </c>
      <c r="D2960" s="264"/>
      <c r="E2960" s="89">
        <v>7507000</v>
      </c>
      <c r="F2960" s="89">
        <v>7507000</v>
      </c>
      <c r="G2960" s="125">
        <f t="shared" si="67"/>
        <v>0</v>
      </c>
      <c r="H2960" s="247"/>
    </row>
    <row r="2961" spans="1:8" ht="33">
      <c r="A2961" s="3">
        <f>IF(E2961="","",COUNTA($E$2727:E2961))</f>
        <v>191</v>
      </c>
      <c r="B2961" s="40" t="s">
        <v>1631</v>
      </c>
      <c r="C2961" s="141" t="s">
        <v>1950</v>
      </c>
      <c r="D2961" s="264"/>
      <c r="E2961" s="89">
        <v>7527000</v>
      </c>
      <c r="F2961" s="89">
        <v>7527000</v>
      </c>
      <c r="G2961" s="125">
        <f t="shared" si="67"/>
        <v>0</v>
      </c>
      <c r="H2961" s="247"/>
    </row>
    <row r="2962" spans="1:8" ht="33">
      <c r="A2962" s="3">
        <f>IF(E2962="","",COUNTA($E$2727:E2962))</f>
        <v>192</v>
      </c>
      <c r="B2962" s="40" t="s">
        <v>1632</v>
      </c>
      <c r="C2962" s="141" t="s">
        <v>1950</v>
      </c>
      <c r="D2962" s="264"/>
      <c r="E2962" s="89">
        <v>7555000</v>
      </c>
      <c r="F2962" s="89">
        <v>7555000</v>
      </c>
      <c r="G2962" s="125">
        <f t="shared" si="67"/>
        <v>0</v>
      </c>
      <c r="H2962" s="247"/>
    </row>
    <row r="2963" spans="1:8" ht="33">
      <c r="A2963" s="3">
        <f>IF(E2963="","",COUNTA($E$2727:E2963))</f>
        <v>193</v>
      </c>
      <c r="B2963" s="40" t="s">
        <v>1633</v>
      </c>
      <c r="C2963" s="141" t="s">
        <v>1950</v>
      </c>
      <c r="D2963" s="264"/>
      <c r="E2963" s="89">
        <v>7966000</v>
      </c>
      <c r="F2963" s="89">
        <v>7966000</v>
      </c>
      <c r="G2963" s="125">
        <f t="shared" si="67"/>
        <v>0</v>
      </c>
      <c r="H2963" s="247"/>
    </row>
    <row r="2964" spans="1:8" ht="33">
      <c r="A2964" s="3">
        <f>IF(E2964="","",COUNTA($E$2727:E2964))</f>
        <v>194</v>
      </c>
      <c r="B2964" s="40" t="s">
        <v>1634</v>
      </c>
      <c r="C2964" s="141" t="s">
        <v>1950</v>
      </c>
      <c r="D2964" s="265"/>
      <c r="E2964" s="89">
        <v>7985000</v>
      </c>
      <c r="F2964" s="89">
        <v>7985000</v>
      </c>
      <c r="G2964" s="125">
        <f t="shared" si="67"/>
        <v>0</v>
      </c>
      <c r="H2964" s="247"/>
    </row>
    <row r="2965" spans="1:8" ht="33">
      <c r="A2965" s="3">
        <f>IF(E2965="","",COUNTA($E$2727:E2965))</f>
        <v>195</v>
      </c>
      <c r="B2965" s="40" t="s">
        <v>1635</v>
      </c>
      <c r="C2965" s="141" t="s">
        <v>1950</v>
      </c>
      <c r="D2965" s="263" t="s">
        <v>940</v>
      </c>
      <c r="E2965" s="89">
        <v>8006000</v>
      </c>
      <c r="F2965" s="89">
        <v>8006000</v>
      </c>
      <c r="G2965" s="125">
        <f t="shared" si="67"/>
        <v>0</v>
      </c>
      <c r="H2965" s="247"/>
    </row>
    <row r="2966" spans="1:8" ht="33">
      <c r="A2966" s="3">
        <f>IF(E2966="","",COUNTA($E$2727:E2966))</f>
        <v>196</v>
      </c>
      <c r="B2966" s="40" t="s">
        <v>1636</v>
      </c>
      <c r="C2966" s="141" t="s">
        <v>1950</v>
      </c>
      <c r="D2966" s="264"/>
      <c r="E2966" s="89">
        <v>8491000</v>
      </c>
      <c r="F2966" s="89">
        <v>8491000</v>
      </c>
      <c r="G2966" s="125">
        <f t="shared" si="67"/>
        <v>0</v>
      </c>
      <c r="H2966" s="247"/>
    </row>
    <row r="2967" spans="1:8" ht="33">
      <c r="A2967" s="3">
        <f>IF(E2967="","",COUNTA($E$2727:E2967))</f>
        <v>197</v>
      </c>
      <c r="B2967" s="40" t="s">
        <v>1637</v>
      </c>
      <c r="C2967" s="141" t="s">
        <v>1950</v>
      </c>
      <c r="D2967" s="264"/>
      <c r="E2967" s="89">
        <v>8520000</v>
      </c>
      <c r="F2967" s="89">
        <v>8520000</v>
      </c>
      <c r="G2967" s="125">
        <f t="shared" si="67"/>
        <v>0</v>
      </c>
      <c r="H2967" s="247"/>
    </row>
    <row r="2968" spans="1:8" ht="33">
      <c r="A2968" s="3">
        <f>IF(E2968="","",COUNTA($E$2727:E2968))</f>
        <v>198</v>
      </c>
      <c r="B2968" s="40" t="s">
        <v>1638</v>
      </c>
      <c r="C2968" s="141" t="s">
        <v>1950</v>
      </c>
      <c r="D2968" s="264"/>
      <c r="E2968" s="89">
        <v>8530000</v>
      </c>
      <c r="F2968" s="89">
        <v>8530000</v>
      </c>
      <c r="G2968" s="125">
        <f t="shared" si="67"/>
        <v>0</v>
      </c>
      <c r="H2968" s="247"/>
    </row>
    <row r="2969" spans="1:8" ht="33">
      <c r="A2969" s="3">
        <f>IF(E2969="","",COUNTA($E$2727:E2969))</f>
        <v>199</v>
      </c>
      <c r="B2969" s="40" t="s">
        <v>1639</v>
      </c>
      <c r="C2969" s="141" t="s">
        <v>1950</v>
      </c>
      <c r="D2969" s="264"/>
      <c r="E2969" s="89">
        <v>8551000</v>
      </c>
      <c r="F2969" s="89">
        <v>8551000</v>
      </c>
      <c r="G2969" s="125">
        <f t="shared" si="67"/>
        <v>0</v>
      </c>
      <c r="H2969" s="247"/>
    </row>
    <row r="2970" spans="1:8" ht="33">
      <c r="A2970" s="3">
        <f>IF(E2970="","",COUNTA($E$2727:E2970))</f>
        <v>200</v>
      </c>
      <c r="B2970" s="40" t="s">
        <v>1640</v>
      </c>
      <c r="C2970" s="141" t="s">
        <v>1950</v>
      </c>
      <c r="D2970" s="264"/>
      <c r="E2970" s="89">
        <v>9792000</v>
      </c>
      <c r="F2970" s="89">
        <v>9792000</v>
      </c>
      <c r="G2970" s="125">
        <f t="shared" si="67"/>
        <v>0</v>
      </c>
      <c r="H2970" s="247"/>
    </row>
    <row r="2971" spans="1:8" ht="33">
      <c r="A2971" s="3">
        <f>IF(E2971="","",COUNTA($E$2727:E2971))</f>
        <v>201</v>
      </c>
      <c r="B2971" s="40" t="s">
        <v>1641</v>
      </c>
      <c r="C2971" s="141" t="s">
        <v>1950</v>
      </c>
      <c r="D2971" s="264"/>
      <c r="E2971" s="89">
        <v>9875000</v>
      </c>
      <c r="F2971" s="89">
        <v>9875000</v>
      </c>
      <c r="G2971" s="125">
        <f t="shared" si="67"/>
        <v>0</v>
      </c>
      <c r="H2971" s="247"/>
    </row>
    <row r="2972" spans="1:8" ht="33">
      <c r="A2972" s="3">
        <f>IF(E2972="","",COUNTA($E$2727:E2972))</f>
        <v>202</v>
      </c>
      <c r="B2972" s="40" t="s">
        <v>1642</v>
      </c>
      <c r="C2972" s="141" t="s">
        <v>1950</v>
      </c>
      <c r="D2972" s="264"/>
      <c r="E2972" s="89">
        <v>9901000</v>
      </c>
      <c r="F2972" s="89">
        <v>9901000</v>
      </c>
      <c r="G2972" s="125">
        <f t="shared" si="67"/>
        <v>0</v>
      </c>
      <c r="H2972" s="247"/>
    </row>
    <row r="2973" spans="1:8" ht="33">
      <c r="A2973" s="3">
        <f>IF(E2973="","",COUNTA($E$2727:E2973))</f>
        <v>203</v>
      </c>
      <c r="B2973" s="40" t="s">
        <v>1643</v>
      </c>
      <c r="C2973" s="141" t="s">
        <v>1950</v>
      </c>
      <c r="D2973" s="264"/>
      <c r="E2973" s="89">
        <v>9928000</v>
      </c>
      <c r="F2973" s="89">
        <v>9928000</v>
      </c>
      <c r="G2973" s="125">
        <f t="shared" si="67"/>
        <v>0</v>
      </c>
      <c r="H2973" s="247"/>
    </row>
    <row r="2974" spans="1:8" ht="33">
      <c r="A2974" s="3">
        <f>IF(E2974="","",COUNTA($E$2727:E2974))</f>
        <v>204</v>
      </c>
      <c r="B2974" s="40" t="s">
        <v>1644</v>
      </c>
      <c r="C2974" s="141" t="s">
        <v>1950</v>
      </c>
      <c r="D2974" s="264"/>
      <c r="E2974" s="89">
        <v>11499000</v>
      </c>
      <c r="F2974" s="89">
        <v>11499000</v>
      </c>
      <c r="G2974" s="125">
        <f t="shared" si="67"/>
        <v>0</v>
      </c>
      <c r="H2974" s="247"/>
    </row>
    <row r="2975" spans="1:8" ht="33">
      <c r="A2975" s="3">
        <f>IF(E2975="","",COUNTA($E$2727:E2975))</f>
        <v>205</v>
      </c>
      <c r="B2975" s="40" t="s">
        <v>1645</v>
      </c>
      <c r="C2975" s="141" t="s">
        <v>1950</v>
      </c>
      <c r="D2975" s="264"/>
      <c r="E2975" s="89">
        <v>11525000</v>
      </c>
      <c r="F2975" s="89">
        <v>11525000</v>
      </c>
      <c r="G2975" s="125">
        <f t="shared" si="67"/>
        <v>0</v>
      </c>
      <c r="H2975" s="247"/>
    </row>
    <row r="2976" spans="1:8" ht="33">
      <c r="A2976" s="3">
        <f>IF(E2976="","",COUNTA($E$2727:E2976))</f>
        <v>206</v>
      </c>
      <c r="B2976" s="40" t="s">
        <v>1646</v>
      </c>
      <c r="C2976" s="141" t="s">
        <v>1950</v>
      </c>
      <c r="D2976" s="264"/>
      <c r="E2976" s="89">
        <v>12029000</v>
      </c>
      <c r="F2976" s="89">
        <v>12029000</v>
      </c>
      <c r="G2976" s="125">
        <f t="shared" si="67"/>
        <v>0</v>
      </c>
      <c r="H2976" s="247"/>
    </row>
    <row r="2977" spans="1:8" ht="33">
      <c r="A2977" s="3">
        <f>IF(E2977="","",COUNTA($E$2727:E2977))</f>
        <v>207</v>
      </c>
      <c r="B2977" s="40" t="s">
        <v>1647</v>
      </c>
      <c r="C2977" s="141" t="s">
        <v>1950</v>
      </c>
      <c r="D2977" s="265"/>
      <c r="E2977" s="89">
        <v>12054000</v>
      </c>
      <c r="F2977" s="89">
        <v>12054000</v>
      </c>
      <c r="G2977" s="125">
        <f t="shared" si="67"/>
        <v>0</v>
      </c>
      <c r="H2977" s="247"/>
    </row>
    <row r="2978" spans="1:8" ht="49.5">
      <c r="A2978" s="3">
        <f>IF(E2978="","",COUNTA($E$2727:E2978))</f>
        <v>208</v>
      </c>
      <c r="B2978" s="40" t="s">
        <v>1648</v>
      </c>
      <c r="C2978" s="141" t="s">
        <v>1950</v>
      </c>
      <c r="D2978" s="263" t="s">
        <v>940</v>
      </c>
      <c r="E2978" s="89">
        <v>6514000</v>
      </c>
      <c r="F2978" s="89">
        <v>6514000</v>
      </c>
      <c r="G2978" s="125">
        <f t="shared" si="67"/>
        <v>0</v>
      </c>
      <c r="H2978" s="247"/>
    </row>
    <row r="2979" spans="1:8" ht="49.5">
      <c r="A2979" s="3">
        <f>IF(E2979="","",COUNTA($E$2727:E2979))</f>
        <v>209</v>
      </c>
      <c r="B2979" s="40" t="s">
        <v>1649</v>
      </c>
      <c r="C2979" s="141" t="s">
        <v>1950</v>
      </c>
      <c r="D2979" s="264"/>
      <c r="E2979" s="89">
        <v>6600000</v>
      </c>
      <c r="F2979" s="89">
        <v>6600000</v>
      </c>
      <c r="G2979" s="125">
        <f t="shared" si="67"/>
        <v>0</v>
      </c>
      <c r="H2979" s="247"/>
    </row>
    <row r="2980" spans="1:8" ht="49.5">
      <c r="A2980" s="3">
        <f>IF(E2980="","",COUNTA($E$2727:E2980))</f>
        <v>210</v>
      </c>
      <c r="B2980" s="40" t="s">
        <v>1650</v>
      </c>
      <c r="C2980" s="141" t="s">
        <v>1950</v>
      </c>
      <c r="D2980" s="264"/>
      <c r="E2980" s="89">
        <v>7356000</v>
      </c>
      <c r="F2980" s="89">
        <v>7356000</v>
      </c>
      <c r="G2980" s="125">
        <f t="shared" si="67"/>
        <v>0</v>
      </c>
      <c r="H2980" s="247"/>
    </row>
    <row r="2981" spans="1:8" ht="49.5">
      <c r="A2981" s="3">
        <f>IF(E2981="","",COUNTA($E$2727:E2981))</f>
        <v>211</v>
      </c>
      <c r="B2981" s="40" t="s">
        <v>1651</v>
      </c>
      <c r="C2981" s="141" t="s">
        <v>1950</v>
      </c>
      <c r="D2981" s="264"/>
      <c r="E2981" s="89">
        <v>7836000</v>
      </c>
      <c r="F2981" s="89">
        <v>7836000</v>
      </c>
      <c r="G2981" s="125">
        <f t="shared" si="67"/>
        <v>0</v>
      </c>
      <c r="H2981" s="247"/>
    </row>
    <row r="2982" spans="1:8" ht="49.5">
      <c r="A2982" s="3">
        <f>IF(E2982="","",COUNTA($E$2727:E2982))</f>
        <v>212</v>
      </c>
      <c r="B2982" s="40" t="s">
        <v>1652</v>
      </c>
      <c r="C2982" s="141" t="s">
        <v>1950</v>
      </c>
      <c r="D2982" s="264"/>
      <c r="E2982" s="89">
        <v>7920000</v>
      </c>
      <c r="F2982" s="89">
        <v>7920000</v>
      </c>
      <c r="G2982" s="125">
        <f t="shared" si="67"/>
        <v>0</v>
      </c>
      <c r="H2982" s="247"/>
    </row>
    <row r="2983" spans="1:8" ht="49.5">
      <c r="A2983" s="3">
        <f>IF(E2983="","",COUNTA($E$2727:E2983))</f>
        <v>213</v>
      </c>
      <c r="B2983" s="40" t="s">
        <v>1653</v>
      </c>
      <c r="C2983" s="141" t="s">
        <v>1950</v>
      </c>
      <c r="D2983" s="264"/>
      <c r="E2983" s="89">
        <v>8048400</v>
      </c>
      <c r="F2983" s="89">
        <v>8048400</v>
      </c>
      <c r="G2983" s="125">
        <f t="shared" si="67"/>
        <v>0</v>
      </c>
      <c r="H2983" s="247"/>
    </row>
    <row r="2984" spans="1:8" ht="49.5">
      <c r="A2984" s="3">
        <f>IF(E2984="","",COUNTA($E$2727:E2984))</f>
        <v>214</v>
      </c>
      <c r="B2984" s="40" t="s">
        <v>1654</v>
      </c>
      <c r="C2984" s="141" t="s">
        <v>1950</v>
      </c>
      <c r="D2984" s="265"/>
      <c r="E2984" s="89">
        <v>8052000</v>
      </c>
      <c r="F2984" s="89">
        <v>8052000</v>
      </c>
      <c r="G2984" s="125">
        <f t="shared" si="67"/>
        <v>0</v>
      </c>
      <c r="H2984" s="247"/>
    </row>
    <row r="2985" spans="1:8" ht="34.5">
      <c r="A2985" s="3">
        <f>IF(E2985="","",COUNTA($E$2727:E2985))</f>
      </c>
      <c r="B2985" s="39" t="s">
        <v>1582</v>
      </c>
      <c r="C2985" s="141"/>
      <c r="E2985" s="89"/>
      <c r="F2985" s="89"/>
      <c r="G2985" s="125"/>
      <c r="H2985" s="247"/>
    </row>
    <row r="2986" spans="1:8" ht="39.75" customHeight="1">
      <c r="A2986" s="3">
        <f>IF(E2986="","",COUNTA($E$2727:E2986))</f>
        <v>215</v>
      </c>
      <c r="B2986" s="40" t="s">
        <v>1655</v>
      </c>
      <c r="C2986" s="142" t="s">
        <v>1950</v>
      </c>
      <c r="D2986" s="262" t="s">
        <v>797</v>
      </c>
      <c r="E2986" s="89">
        <v>13475000</v>
      </c>
      <c r="F2986" s="89">
        <v>13475000</v>
      </c>
      <c r="G2986" s="125">
        <f t="shared" si="67"/>
        <v>0</v>
      </c>
      <c r="H2986" s="247"/>
    </row>
    <row r="2987" spans="1:8" ht="39.75" customHeight="1">
      <c r="A2987" s="3">
        <f>IF(E2987="","",COUNTA($E$2727:E2987))</f>
        <v>216</v>
      </c>
      <c r="B2987" s="40" t="s">
        <v>1656</v>
      </c>
      <c r="C2987" s="142" t="s">
        <v>1950</v>
      </c>
      <c r="D2987" s="262"/>
      <c r="E2987" s="89">
        <v>15675000</v>
      </c>
      <c r="F2987" s="89">
        <v>15675000</v>
      </c>
      <c r="G2987" s="125">
        <f t="shared" si="67"/>
        <v>0</v>
      </c>
      <c r="H2987" s="247"/>
    </row>
    <row r="2988" spans="1:8" ht="39.75" customHeight="1">
      <c r="A2988" s="3">
        <f>IF(E2988="","",COUNTA($E$2727:E2988))</f>
        <v>217</v>
      </c>
      <c r="B2988" s="40" t="s">
        <v>1657</v>
      </c>
      <c r="C2988" s="142" t="s">
        <v>1950</v>
      </c>
      <c r="D2988" s="262"/>
      <c r="E2988" s="89">
        <v>16500000</v>
      </c>
      <c r="F2988" s="89">
        <v>16500000</v>
      </c>
      <c r="G2988" s="125">
        <f t="shared" si="67"/>
        <v>0</v>
      </c>
      <c r="H2988" s="247"/>
    </row>
    <row r="2989" spans="1:8" ht="39.75" customHeight="1">
      <c r="A2989" s="3">
        <f>IF(E2989="","",COUNTA($E$2727:E2989))</f>
        <v>218</v>
      </c>
      <c r="B2989" s="40" t="s">
        <v>1658</v>
      </c>
      <c r="C2989" s="142" t="s">
        <v>1950</v>
      </c>
      <c r="D2989" s="262"/>
      <c r="E2989" s="89">
        <v>10752500</v>
      </c>
      <c r="F2989" s="89">
        <v>10752500</v>
      </c>
      <c r="G2989" s="125">
        <f t="shared" si="67"/>
        <v>0</v>
      </c>
      <c r="H2989" s="247"/>
    </row>
    <row r="2990" spans="1:8" ht="39.75" customHeight="1">
      <c r="A2990" s="3">
        <f>IF(E2990="","",COUNTA($E$2727:E2990))</f>
        <v>219</v>
      </c>
      <c r="B2990" s="40" t="s">
        <v>1659</v>
      </c>
      <c r="C2990" s="142" t="s">
        <v>1950</v>
      </c>
      <c r="D2990" s="262"/>
      <c r="E2990" s="89">
        <v>12842500</v>
      </c>
      <c r="F2990" s="89">
        <v>12842500</v>
      </c>
      <c r="G2990" s="125">
        <f t="shared" si="67"/>
        <v>0</v>
      </c>
      <c r="H2990" s="247"/>
    </row>
    <row r="2991" spans="1:8" ht="39.75" customHeight="1">
      <c r="A2991" s="3">
        <f>IF(E2991="","",COUNTA($E$2727:E2991))</f>
        <v>220</v>
      </c>
      <c r="B2991" s="40" t="s">
        <v>1660</v>
      </c>
      <c r="C2991" s="142" t="s">
        <v>1950</v>
      </c>
      <c r="D2991" s="262"/>
      <c r="E2991" s="89">
        <v>18342500</v>
      </c>
      <c r="F2991" s="89">
        <v>18342500</v>
      </c>
      <c r="G2991" s="125">
        <f t="shared" si="67"/>
        <v>0</v>
      </c>
      <c r="H2991" s="247"/>
    </row>
    <row r="2992" spans="1:8" ht="108.75" customHeight="1">
      <c r="A2992" s="3">
        <f>IF(E2992="","",COUNTA($E$2727:E2992))</f>
        <v>221</v>
      </c>
      <c r="B2992" s="40" t="s">
        <v>1661</v>
      </c>
      <c r="C2992" s="142" t="s">
        <v>1950</v>
      </c>
      <c r="D2992" s="262" t="s">
        <v>2185</v>
      </c>
      <c r="E2992" s="89">
        <v>16780000</v>
      </c>
      <c r="F2992" s="89">
        <v>16780000</v>
      </c>
      <c r="G2992" s="125">
        <f t="shared" si="67"/>
        <v>0</v>
      </c>
      <c r="H2992" s="247"/>
    </row>
    <row r="2993" spans="1:8" ht="108.75" customHeight="1">
      <c r="A2993" s="3">
        <f>IF(E2993="","",COUNTA($E$2727:E2993))</f>
        <v>222</v>
      </c>
      <c r="B2993" s="40" t="s">
        <v>1662</v>
      </c>
      <c r="C2993" s="142" t="s">
        <v>1950</v>
      </c>
      <c r="D2993" s="262"/>
      <c r="E2993" s="89">
        <v>17840000</v>
      </c>
      <c r="F2993" s="89">
        <v>17840000</v>
      </c>
      <c r="G2993" s="125">
        <f t="shared" si="67"/>
        <v>0</v>
      </c>
      <c r="H2993" s="247"/>
    </row>
    <row r="2994" spans="1:8" ht="135" customHeight="1">
      <c r="A2994" s="3">
        <f>IF(E2994="","",COUNTA($E$2727:E2994))</f>
        <v>223</v>
      </c>
      <c r="B2994" s="40" t="s">
        <v>795</v>
      </c>
      <c r="C2994" s="142" t="s">
        <v>1950</v>
      </c>
      <c r="D2994" s="262" t="s">
        <v>941</v>
      </c>
      <c r="E2994" s="89">
        <f>18880000</f>
        <v>18880000</v>
      </c>
      <c r="F2994" s="89">
        <f>18880000</f>
        <v>18880000</v>
      </c>
      <c r="G2994" s="125">
        <f t="shared" si="67"/>
        <v>0</v>
      </c>
      <c r="H2994" s="247"/>
    </row>
    <row r="2995" spans="1:8" ht="90.75" customHeight="1">
      <c r="A2995" s="3">
        <f>IF(E2995="","",COUNTA($E$2727:E2995))</f>
        <v>224</v>
      </c>
      <c r="B2995" s="40" t="s">
        <v>796</v>
      </c>
      <c r="C2995" s="142" t="s">
        <v>1950</v>
      </c>
      <c r="D2995" s="262"/>
      <c r="E2995" s="89">
        <f>28180000</f>
        <v>28180000</v>
      </c>
      <c r="F2995" s="89">
        <f>28180000</f>
        <v>28180000</v>
      </c>
      <c r="G2995" s="125">
        <f t="shared" si="67"/>
        <v>0</v>
      </c>
      <c r="H2995" s="247"/>
    </row>
    <row r="2996" spans="1:8" ht="17.25">
      <c r="A2996" s="3">
        <f>IF(E2996="","",COUNTA($E$2727:E2996))</f>
      </c>
      <c r="B2996" s="39" t="s">
        <v>708</v>
      </c>
      <c r="C2996" s="93"/>
      <c r="E2996" s="91"/>
      <c r="F2996" s="91"/>
      <c r="G2996" s="125" t="e">
        <f aca="true" t="shared" si="68" ref="G2996:G3059">(E2996-F2996)/E2996</f>
        <v>#DIV/0!</v>
      </c>
      <c r="H2996" s="247" t="s">
        <v>438</v>
      </c>
    </row>
    <row r="2997" spans="1:8" ht="16.5">
      <c r="A2997" s="3">
        <f>IF(E2997="","",COUNTA($E$2727:E2997))</f>
        <v>225</v>
      </c>
      <c r="B2997" s="76" t="s">
        <v>709</v>
      </c>
      <c r="C2997" s="21" t="s">
        <v>710</v>
      </c>
      <c r="E2997" s="59">
        <v>24273</v>
      </c>
      <c r="F2997" s="59">
        <v>24273</v>
      </c>
      <c r="G2997" s="125">
        <f t="shared" si="68"/>
        <v>0</v>
      </c>
      <c r="H2997" s="247"/>
    </row>
    <row r="2998" spans="1:8" ht="16.5">
      <c r="A2998" s="3">
        <f>IF(E2998="","",COUNTA($E$2727:E2998))</f>
        <v>226</v>
      </c>
      <c r="B2998" s="76" t="s">
        <v>711</v>
      </c>
      <c r="C2998" s="21" t="s">
        <v>710</v>
      </c>
      <c r="E2998" s="59">
        <v>34182</v>
      </c>
      <c r="F2998" s="59">
        <v>34182</v>
      </c>
      <c r="G2998" s="125">
        <f t="shared" si="68"/>
        <v>0</v>
      </c>
      <c r="H2998" s="247"/>
    </row>
    <row r="2999" spans="1:8" ht="16.5">
      <c r="A2999" s="3">
        <f>IF(E2999="","",COUNTA($E$2727:E2999))</f>
        <v>227</v>
      </c>
      <c r="B2999" s="76" t="s">
        <v>712</v>
      </c>
      <c r="C2999" s="21" t="s">
        <v>710</v>
      </c>
      <c r="E2999" s="59">
        <v>47273</v>
      </c>
      <c r="F2999" s="59">
        <v>47273</v>
      </c>
      <c r="G2999" s="125">
        <f t="shared" si="68"/>
        <v>0</v>
      </c>
      <c r="H2999" s="247"/>
    </row>
    <row r="3000" spans="1:8" ht="16.5">
      <c r="A3000" s="3">
        <f>IF(E3000="","",COUNTA($E$2727:E3000))</f>
        <v>228</v>
      </c>
      <c r="B3000" s="76" t="s">
        <v>713</v>
      </c>
      <c r="C3000" s="21" t="s">
        <v>710</v>
      </c>
      <c r="E3000" s="59">
        <v>95091</v>
      </c>
      <c r="F3000" s="59">
        <v>95091</v>
      </c>
      <c r="G3000" s="125">
        <f t="shared" si="68"/>
        <v>0</v>
      </c>
      <c r="H3000" s="247"/>
    </row>
    <row r="3001" spans="1:8" ht="16.5">
      <c r="A3001" s="3">
        <f>IF(E3001="","",COUNTA($E$2727:E3001))</f>
        <v>229</v>
      </c>
      <c r="B3001" s="76" t="s">
        <v>714</v>
      </c>
      <c r="C3001" s="21" t="s">
        <v>710</v>
      </c>
      <c r="E3001" s="59">
        <v>168909</v>
      </c>
      <c r="F3001" s="59">
        <v>168909</v>
      </c>
      <c r="G3001" s="125">
        <f t="shared" si="68"/>
        <v>0</v>
      </c>
      <c r="H3001" s="247"/>
    </row>
    <row r="3002" spans="1:8" ht="16.5">
      <c r="A3002" s="3">
        <f>IF(E3002="","",COUNTA($E$2727:E3002))</f>
        <v>230</v>
      </c>
      <c r="B3002" s="76" t="s">
        <v>715</v>
      </c>
      <c r="C3002" s="21" t="s">
        <v>710</v>
      </c>
      <c r="E3002" s="59">
        <v>156091</v>
      </c>
      <c r="F3002" s="59">
        <v>156091</v>
      </c>
      <c r="G3002" s="125">
        <f t="shared" si="68"/>
        <v>0</v>
      </c>
      <c r="H3002" s="247"/>
    </row>
    <row r="3003" spans="1:8" ht="16.5">
      <c r="A3003" s="3">
        <f>IF(E3003="","",COUNTA($E$2727:E3003))</f>
        <v>231</v>
      </c>
      <c r="B3003" s="76" t="s">
        <v>716</v>
      </c>
      <c r="C3003" s="21" t="s">
        <v>710</v>
      </c>
      <c r="E3003" s="59">
        <v>210273</v>
      </c>
      <c r="F3003" s="59">
        <v>210273</v>
      </c>
      <c r="G3003" s="125">
        <f t="shared" si="68"/>
        <v>0</v>
      </c>
      <c r="H3003" s="247"/>
    </row>
    <row r="3004" spans="1:8" ht="17.25">
      <c r="A3004" s="3">
        <f>IF(E3004="","",COUNTA($E$2727:E3004))</f>
      </c>
      <c r="B3004" s="77" t="s">
        <v>761</v>
      </c>
      <c r="E3004" s="59"/>
      <c r="F3004" s="59"/>
      <c r="G3004" s="125"/>
      <c r="H3004" s="57"/>
    </row>
    <row r="3005" spans="1:8" ht="66">
      <c r="A3005" s="3">
        <f>IF(E3005="","",COUNTA($E$2727:E3005))</f>
        <v>232</v>
      </c>
      <c r="B3005" s="40" t="s">
        <v>736</v>
      </c>
      <c r="C3005" s="21" t="s">
        <v>1950</v>
      </c>
      <c r="D3005" s="63" t="s">
        <v>762</v>
      </c>
      <c r="E3005" s="59">
        <v>3070000</v>
      </c>
      <c r="F3005" s="116">
        <v>3070000</v>
      </c>
      <c r="G3005" s="125">
        <f t="shared" si="68"/>
        <v>0</v>
      </c>
      <c r="H3005" s="240" t="s">
        <v>777</v>
      </c>
    </row>
    <row r="3006" spans="1:8" ht="66">
      <c r="A3006" s="3">
        <f>IF(E3006="","",COUNTA($E$2727:E3006))</f>
        <v>233</v>
      </c>
      <c r="B3006" s="40" t="s">
        <v>737</v>
      </c>
      <c r="C3006" s="21" t="s">
        <v>1950</v>
      </c>
      <c r="D3006" s="63" t="s">
        <v>762</v>
      </c>
      <c r="E3006" s="59">
        <v>3070000</v>
      </c>
      <c r="F3006" s="116">
        <v>3070000</v>
      </c>
      <c r="G3006" s="125">
        <f t="shared" si="68"/>
        <v>0</v>
      </c>
      <c r="H3006" s="241"/>
    </row>
    <row r="3007" spans="1:8" ht="66">
      <c r="A3007" s="3">
        <f>IF(E3007="","",COUNTA($E$2727:E3007))</f>
        <v>234</v>
      </c>
      <c r="B3007" s="40" t="s">
        <v>738</v>
      </c>
      <c r="C3007" s="21" t="s">
        <v>1950</v>
      </c>
      <c r="D3007" s="63" t="s">
        <v>763</v>
      </c>
      <c r="E3007" s="59">
        <v>2956700</v>
      </c>
      <c r="F3007" s="116">
        <v>2956700</v>
      </c>
      <c r="G3007" s="125">
        <f t="shared" si="68"/>
        <v>0</v>
      </c>
      <c r="H3007" s="241"/>
    </row>
    <row r="3008" spans="1:8" ht="82.5">
      <c r="A3008" s="3">
        <f>IF(E3008="","",COUNTA($E$2727:E3008))</f>
        <v>235</v>
      </c>
      <c r="B3008" s="40" t="s">
        <v>739</v>
      </c>
      <c r="C3008" s="21" t="s">
        <v>1950</v>
      </c>
      <c r="D3008" s="63" t="s">
        <v>764</v>
      </c>
      <c r="E3008" s="59">
        <v>9089200</v>
      </c>
      <c r="F3008" s="116">
        <v>9089200</v>
      </c>
      <c r="G3008" s="125">
        <f t="shared" si="68"/>
        <v>0</v>
      </c>
      <c r="H3008" s="241"/>
    </row>
    <row r="3009" spans="1:8" ht="82.5">
      <c r="A3009" s="3">
        <f>IF(E3009="","",COUNTA($E$2727:E3009))</f>
        <v>236</v>
      </c>
      <c r="B3009" s="40" t="s">
        <v>740</v>
      </c>
      <c r="C3009" s="21" t="s">
        <v>1950</v>
      </c>
      <c r="D3009" s="63" t="s">
        <v>765</v>
      </c>
      <c r="E3009" s="59">
        <v>11083500</v>
      </c>
      <c r="F3009" s="116">
        <v>11083500</v>
      </c>
      <c r="G3009" s="125">
        <f t="shared" si="68"/>
        <v>0</v>
      </c>
      <c r="H3009" s="241"/>
    </row>
    <row r="3010" spans="1:8" ht="82.5">
      <c r="A3010" s="3">
        <f>IF(E3010="","",COUNTA($E$2727:E3010))</f>
        <v>237</v>
      </c>
      <c r="B3010" s="40" t="s">
        <v>741</v>
      </c>
      <c r="C3010" s="21" t="s">
        <v>1950</v>
      </c>
      <c r="D3010" s="63" t="s">
        <v>766</v>
      </c>
      <c r="E3010" s="59">
        <v>13490300</v>
      </c>
      <c r="F3010" s="116">
        <v>13490300</v>
      </c>
      <c r="G3010" s="125">
        <f t="shared" si="68"/>
        <v>0</v>
      </c>
      <c r="H3010" s="241"/>
    </row>
    <row r="3011" spans="1:8" ht="82.5">
      <c r="A3011" s="3">
        <f>IF(E3011="","",COUNTA($E$2727:E3011))</f>
        <v>238</v>
      </c>
      <c r="B3011" s="40" t="s">
        <v>742</v>
      </c>
      <c r="C3011" s="21" t="s">
        <v>1950</v>
      </c>
      <c r="D3011" s="63" t="s">
        <v>767</v>
      </c>
      <c r="E3011" s="59">
        <v>14155800</v>
      </c>
      <c r="F3011" s="116">
        <v>14155800</v>
      </c>
      <c r="G3011" s="125">
        <f t="shared" si="68"/>
        <v>0</v>
      </c>
      <c r="H3011" s="241"/>
    </row>
    <row r="3012" spans="1:8" ht="82.5">
      <c r="A3012" s="3">
        <f>IF(E3012="","",COUNTA($E$2727:E3012))</f>
        <v>239</v>
      </c>
      <c r="B3012" s="40" t="s">
        <v>743</v>
      </c>
      <c r="C3012" s="21" t="s">
        <v>1950</v>
      </c>
      <c r="D3012" s="63" t="s">
        <v>768</v>
      </c>
      <c r="E3012" s="59">
        <v>13947900</v>
      </c>
      <c r="F3012" s="116">
        <v>13947900</v>
      </c>
      <c r="G3012" s="125">
        <f t="shared" si="68"/>
        <v>0</v>
      </c>
      <c r="H3012" s="241"/>
    </row>
    <row r="3013" spans="1:8" ht="82.5">
      <c r="A3013" s="3">
        <f>IF(E3013="","",COUNTA($E$2727:E3013))</f>
        <v>240</v>
      </c>
      <c r="B3013" s="40" t="s">
        <v>744</v>
      </c>
      <c r="C3013" s="21" t="s">
        <v>1950</v>
      </c>
      <c r="D3013" s="63" t="s">
        <v>769</v>
      </c>
      <c r="E3013" s="59">
        <v>5540600</v>
      </c>
      <c r="F3013" s="116">
        <v>5540600</v>
      </c>
      <c r="G3013" s="125">
        <f t="shared" si="68"/>
        <v>0</v>
      </c>
      <c r="H3013" s="241"/>
    </row>
    <row r="3014" spans="1:8" ht="82.5">
      <c r="A3014" s="3">
        <f>IF(E3014="","",COUNTA($E$2727:E3014))</f>
        <v>241</v>
      </c>
      <c r="B3014" s="40" t="s">
        <v>745</v>
      </c>
      <c r="C3014" s="21" t="s">
        <v>1950</v>
      </c>
      <c r="D3014" s="63" t="s">
        <v>770</v>
      </c>
      <c r="E3014" s="59">
        <v>6764900</v>
      </c>
      <c r="F3014" s="116">
        <v>6764900</v>
      </c>
      <c r="G3014" s="125">
        <f t="shared" si="68"/>
        <v>0</v>
      </c>
      <c r="H3014" s="241"/>
    </row>
    <row r="3015" spans="1:8" ht="82.5">
      <c r="A3015" s="3">
        <f>IF(E3015="","",COUNTA($E$2727:E3015))</f>
        <v>242</v>
      </c>
      <c r="B3015" s="40" t="s">
        <v>746</v>
      </c>
      <c r="C3015" s="21" t="s">
        <v>1950</v>
      </c>
      <c r="D3015" s="63" t="s">
        <v>764</v>
      </c>
      <c r="E3015" s="59">
        <v>6764900</v>
      </c>
      <c r="F3015" s="116">
        <v>6764900</v>
      </c>
      <c r="G3015" s="125">
        <f t="shared" si="68"/>
        <v>0</v>
      </c>
      <c r="H3015" s="241"/>
    </row>
    <row r="3016" spans="1:8" ht="82.5">
      <c r="A3016" s="3">
        <f>IF(E3016="","",COUNTA($E$2727:E3016))</f>
        <v>243</v>
      </c>
      <c r="B3016" s="40" t="s">
        <v>747</v>
      </c>
      <c r="C3016" s="21" t="s">
        <v>1950</v>
      </c>
      <c r="D3016" s="63" t="s">
        <v>765</v>
      </c>
      <c r="E3016" s="59">
        <v>9214600</v>
      </c>
      <c r="F3016" s="116">
        <v>9214600</v>
      </c>
      <c r="G3016" s="125">
        <f t="shared" si="68"/>
        <v>0</v>
      </c>
      <c r="H3016" s="241"/>
    </row>
    <row r="3017" spans="1:8" ht="82.5">
      <c r="A3017" s="3">
        <f>IF(E3017="","",COUNTA($E$2727:E3017))</f>
        <v>244</v>
      </c>
      <c r="B3017" s="40" t="s">
        <v>748</v>
      </c>
      <c r="C3017" s="21" t="s">
        <v>1950</v>
      </c>
      <c r="D3017" s="63" t="s">
        <v>766</v>
      </c>
      <c r="E3017" s="59">
        <v>10875600</v>
      </c>
      <c r="F3017" s="116">
        <v>10875600</v>
      </c>
      <c r="G3017" s="125">
        <f t="shared" si="68"/>
        <v>0</v>
      </c>
      <c r="H3017" s="241"/>
    </row>
    <row r="3018" spans="1:8" ht="82.5">
      <c r="A3018" s="3">
        <f>IF(E3018="","",COUNTA($E$2727:E3018))</f>
        <v>245</v>
      </c>
      <c r="B3018" s="40" t="s">
        <v>749</v>
      </c>
      <c r="C3018" s="21" t="s">
        <v>1950</v>
      </c>
      <c r="D3018" s="63" t="s">
        <v>767</v>
      </c>
      <c r="E3018" s="59">
        <v>11622500</v>
      </c>
      <c r="F3018" s="116">
        <v>11622500</v>
      </c>
      <c r="G3018" s="125">
        <f t="shared" si="68"/>
        <v>0</v>
      </c>
      <c r="H3018" s="241"/>
    </row>
    <row r="3019" spans="1:8" ht="82.5">
      <c r="A3019" s="3">
        <f>IF(E3019="","",COUNTA($E$2727:E3019))</f>
        <v>246</v>
      </c>
      <c r="B3019" s="40" t="s">
        <v>750</v>
      </c>
      <c r="C3019" s="21" t="s">
        <v>1950</v>
      </c>
      <c r="D3019" s="63" t="s">
        <v>771</v>
      </c>
      <c r="E3019" s="59">
        <v>13905000</v>
      </c>
      <c r="F3019" s="116">
        <v>13905000</v>
      </c>
      <c r="G3019" s="125">
        <f t="shared" si="68"/>
        <v>0</v>
      </c>
      <c r="H3019" s="241"/>
    </row>
    <row r="3020" spans="1:8" ht="82.5">
      <c r="A3020" s="3">
        <f>IF(E3020="","",COUNTA($E$2727:E3020))</f>
        <v>247</v>
      </c>
      <c r="B3020" s="40" t="s">
        <v>751</v>
      </c>
      <c r="C3020" s="21" t="s">
        <v>1950</v>
      </c>
      <c r="D3020" s="63" t="s">
        <v>772</v>
      </c>
      <c r="E3020" s="59">
        <v>6370000</v>
      </c>
      <c r="F3020" s="116">
        <v>6370000</v>
      </c>
      <c r="G3020" s="125">
        <f t="shared" si="68"/>
        <v>0</v>
      </c>
      <c r="H3020" s="241"/>
    </row>
    <row r="3021" spans="1:8" ht="82.5">
      <c r="A3021" s="3">
        <f>IF(E3021="","",COUNTA($E$2727:E3021))</f>
        <v>248</v>
      </c>
      <c r="B3021" s="40" t="s">
        <v>752</v>
      </c>
      <c r="C3021" s="21" t="s">
        <v>1950</v>
      </c>
      <c r="D3021" s="63" t="s">
        <v>764</v>
      </c>
      <c r="E3021" s="59">
        <v>7179600</v>
      </c>
      <c r="F3021" s="116">
        <v>7179600</v>
      </c>
      <c r="G3021" s="125">
        <f t="shared" si="68"/>
        <v>0</v>
      </c>
      <c r="H3021" s="241"/>
    </row>
    <row r="3022" spans="1:8" ht="82.5">
      <c r="A3022" s="3">
        <f>IF(E3022="","",COUNTA($E$2727:E3022))</f>
        <v>249</v>
      </c>
      <c r="B3022" s="40" t="s">
        <v>753</v>
      </c>
      <c r="C3022" s="21" t="s">
        <v>1950</v>
      </c>
      <c r="D3022" s="63" t="s">
        <v>765</v>
      </c>
      <c r="E3022" s="59">
        <v>8363200</v>
      </c>
      <c r="F3022" s="116">
        <v>8363200</v>
      </c>
      <c r="G3022" s="125">
        <f t="shared" si="68"/>
        <v>0</v>
      </c>
      <c r="H3022" s="241"/>
    </row>
    <row r="3023" spans="1:8" ht="82.5">
      <c r="A3023" s="3">
        <f>IF(E3023="","",COUNTA($E$2727:E3023))</f>
        <v>250</v>
      </c>
      <c r="B3023" s="40" t="s">
        <v>754</v>
      </c>
      <c r="C3023" s="21" t="s">
        <v>1950</v>
      </c>
      <c r="D3023" s="63" t="s">
        <v>766</v>
      </c>
      <c r="E3023" s="59">
        <v>9961500</v>
      </c>
      <c r="F3023" s="116">
        <v>9961500</v>
      </c>
      <c r="G3023" s="125">
        <f t="shared" si="68"/>
        <v>0</v>
      </c>
      <c r="H3023" s="241"/>
    </row>
    <row r="3024" spans="1:8" ht="82.5">
      <c r="A3024" s="3">
        <f>IF(E3024="","",COUNTA($E$2727:E3024))</f>
        <v>251</v>
      </c>
      <c r="B3024" s="40" t="s">
        <v>755</v>
      </c>
      <c r="C3024" s="21" t="s">
        <v>1950</v>
      </c>
      <c r="D3024" s="63" t="s">
        <v>767</v>
      </c>
      <c r="E3024" s="59">
        <v>10793100</v>
      </c>
      <c r="F3024" s="116">
        <v>10793100</v>
      </c>
      <c r="G3024" s="125">
        <f t="shared" si="68"/>
        <v>0</v>
      </c>
      <c r="H3024" s="241"/>
    </row>
    <row r="3025" spans="1:8" ht="82.5">
      <c r="A3025" s="3">
        <f>IF(E3025="","",COUNTA($E$2727:E3025))</f>
        <v>252</v>
      </c>
      <c r="B3025" s="40" t="s">
        <v>756</v>
      </c>
      <c r="C3025" s="21" t="s">
        <v>1950</v>
      </c>
      <c r="D3025" s="63" t="s">
        <v>767</v>
      </c>
      <c r="E3025" s="59">
        <v>11414600</v>
      </c>
      <c r="F3025" s="116">
        <v>11414600</v>
      </c>
      <c r="G3025" s="125">
        <f t="shared" si="68"/>
        <v>0</v>
      </c>
      <c r="H3025" s="241"/>
    </row>
    <row r="3026" spans="1:8" ht="82.5">
      <c r="A3026" s="3">
        <f>IF(E3026="","",COUNTA($E$2727:E3026))</f>
        <v>253</v>
      </c>
      <c r="B3026" s="40" t="s">
        <v>757</v>
      </c>
      <c r="C3026" s="21" t="s">
        <v>1950</v>
      </c>
      <c r="D3026" s="63" t="s">
        <v>773</v>
      </c>
      <c r="E3026" s="59">
        <v>14195400</v>
      </c>
      <c r="F3026" s="116">
        <v>14195400</v>
      </c>
      <c r="G3026" s="125">
        <f t="shared" si="68"/>
        <v>0</v>
      </c>
      <c r="H3026" s="241"/>
    </row>
    <row r="3027" spans="1:8" ht="82.5">
      <c r="A3027" s="3">
        <f>IF(E3027="","",COUNTA($E$2727:E3027))</f>
        <v>254</v>
      </c>
      <c r="B3027" s="40" t="s">
        <v>758</v>
      </c>
      <c r="C3027" s="21" t="s">
        <v>1950</v>
      </c>
      <c r="D3027" s="63" t="s">
        <v>774</v>
      </c>
      <c r="E3027" s="59">
        <v>16770500</v>
      </c>
      <c r="F3027" s="116">
        <v>16770500</v>
      </c>
      <c r="G3027" s="125">
        <f t="shared" si="68"/>
        <v>0</v>
      </c>
      <c r="H3027" s="241"/>
    </row>
    <row r="3028" spans="1:8" ht="82.5">
      <c r="A3028" s="3">
        <f>IF(E3028="","",COUNTA($E$2727:E3028))</f>
        <v>255</v>
      </c>
      <c r="B3028" s="40" t="s">
        <v>759</v>
      </c>
      <c r="C3028" s="21" t="s">
        <v>1950</v>
      </c>
      <c r="D3028" s="63" t="s">
        <v>775</v>
      </c>
      <c r="E3028" s="59">
        <v>18452400</v>
      </c>
      <c r="F3028" s="116">
        <v>18452400</v>
      </c>
      <c r="G3028" s="125">
        <f t="shared" si="68"/>
        <v>0</v>
      </c>
      <c r="H3028" s="241"/>
    </row>
    <row r="3029" spans="1:8" ht="82.5">
      <c r="A3029" s="3">
        <f>IF(E3029="","",COUNTA($E$2727:E3029))</f>
        <v>256</v>
      </c>
      <c r="B3029" s="40" t="s">
        <v>760</v>
      </c>
      <c r="C3029" s="21" t="s">
        <v>1950</v>
      </c>
      <c r="D3029" s="63" t="s">
        <v>776</v>
      </c>
      <c r="E3029" s="59">
        <v>24700400</v>
      </c>
      <c r="F3029" s="116">
        <v>24700400</v>
      </c>
      <c r="G3029" s="125">
        <f t="shared" si="68"/>
        <v>0</v>
      </c>
      <c r="H3029" s="242"/>
    </row>
    <row r="3030" spans="1:8" ht="34.5">
      <c r="A3030" s="3">
        <f>IF(E3030="","",COUNTA($E$2727:E3030))</f>
      </c>
      <c r="B3030" s="39" t="s">
        <v>904</v>
      </c>
      <c r="D3030" s="63"/>
      <c r="E3030" s="59"/>
      <c r="F3030" s="59"/>
      <c r="G3030" s="125"/>
      <c r="H3030" s="240" t="s">
        <v>1445</v>
      </c>
    </row>
    <row r="3031" spans="1:8" ht="16.5">
      <c r="A3031" s="3">
        <f>IF(E3031="","",COUNTA($E$2727:E3031))</f>
        <v>257</v>
      </c>
      <c r="B3031" s="40" t="s">
        <v>1447</v>
      </c>
      <c r="C3031" s="21" t="s">
        <v>1448</v>
      </c>
      <c r="D3031" s="63" t="s">
        <v>1449</v>
      </c>
      <c r="E3031" s="59">
        <v>16560</v>
      </c>
      <c r="F3031" s="59">
        <v>16560</v>
      </c>
      <c r="G3031" s="125">
        <f t="shared" si="68"/>
        <v>0</v>
      </c>
      <c r="H3031" s="241"/>
    </row>
    <row r="3032" spans="1:8" ht="16.5">
      <c r="A3032" s="3">
        <f>IF(E3032="","",COUNTA($E$2727:E3032))</f>
        <v>258</v>
      </c>
      <c r="B3032" s="40" t="s">
        <v>1450</v>
      </c>
      <c r="C3032" s="21" t="s">
        <v>1448</v>
      </c>
      <c r="D3032" s="63" t="s">
        <v>1449</v>
      </c>
      <c r="E3032" s="59">
        <v>23460</v>
      </c>
      <c r="F3032" s="59">
        <v>23460</v>
      </c>
      <c r="G3032" s="125">
        <f t="shared" si="68"/>
        <v>0</v>
      </c>
      <c r="H3032" s="241"/>
    </row>
    <row r="3033" spans="1:8" ht="16.5">
      <c r="A3033" s="3">
        <f>IF(E3033="","",COUNTA($E$2727:E3033))</f>
        <v>259</v>
      </c>
      <c r="B3033" s="40" t="s">
        <v>1451</v>
      </c>
      <c r="C3033" s="21" t="s">
        <v>1448</v>
      </c>
      <c r="D3033" s="63" t="s">
        <v>1449</v>
      </c>
      <c r="E3033" s="59">
        <v>33120</v>
      </c>
      <c r="F3033" s="59">
        <v>33120</v>
      </c>
      <c r="G3033" s="125">
        <f t="shared" si="68"/>
        <v>0</v>
      </c>
      <c r="H3033" s="241"/>
    </row>
    <row r="3034" spans="1:8" ht="16.5">
      <c r="A3034" s="3">
        <f>IF(E3034="","",COUNTA($E$2727:E3034))</f>
        <v>260</v>
      </c>
      <c r="B3034" s="40" t="s">
        <v>1452</v>
      </c>
      <c r="C3034" s="21" t="s">
        <v>1448</v>
      </c>
      <c r="D3034" s="63" t="s">
        <v>1449</v>
      </c>
      <c r="E3034" s="59">
        <v>57960</v>
      </c>
      <c r="F3034" s="59">
        <v>57960</v>
      </c>
      <c r="G3034" s="125">
        <f t="shared" si="68"/>
        <v>0</v>
      </c>
      <c r="H3034" s="241"/>
    </row>
    <row r="3035" spans="1:8" ht="16.5">
      <c r="A3035" s="3">
        <f>IF(E3035="","",COUNTA($E$2727:E3035))</f>
        <v>261</v>
      </c>
      <c r="B3035" s="40" t="s">
        <v>1453</v>
      </c>
      <c r="C3035" s="21" t="s">
        <v>2793</v>
      </c>
      <c r="D3035" s="63"/>
      <c r="E3035" s="59">
        <v>12420</v>
      </c>
      <c r="F3035" s="59">
        <v>12420</v>
      </c>
      <c r="G3035" s="125">
        <f t="shared" si="68"/>
        <v>0</v>
      </c>
      <c r="H3035" s="241"/>
    </row>
    <row r="3036" spans="1:8" ht="16.5">
      <c r="A3036" s="3">
        <f>IF(E3036="","",COUNTA($E$2727:E3036))</f>
        <v>262</v>
      </c>
      <c r="B3036" s="40" t="s">
        <v>1454</v>
      </c>
      <c r="C3036" s="21" t="s">
        <v>2793</v>
      </c>
      <c r="D3036" s="63"/>
      <c r="E3036" s="59">
        <v>15280</v>
      </c>
      <c r="F3036" s="59">
        <v>15280</v>
      </c>
      <c r="G3036" s="125">
        <f t="shared" si="68"/>
        <v>0</v>
      </c>
      <c r="H3036" s="241"/>
    </row>
    <row r="3037" spans="1:8" ht="16.5">
      <c r="A3037" s="3">
        <f>IF(E3037="","",COUNTA($E$2727:E3037))</f>
        <v>263</v>
      </c>
      <c r="B3037" s="40" t="s">
        <v>1455</v>
      </c>
      <c r="C3037" s="21" t="s">
        <v>2793</v>
      </c>
      <c r="D3037" s="63"/>
      <c r="E3037" s="59">
        <v>26500</v>
      </c>
      <c r="F3037" s="59">
        <v>26500</v>
      </c>
      <c r="G3037" s="125">
        <f t="shared" si="68"/>
        <v>0</v>
      </c>
      <c r="H3037" s="241"/>
    </row>
    <row r="3038" spans="1:8" ht="16.5">
      <c r="A3038" s="3">
        <f>IF(E3038="","",COUNTA($E$2727:E3038))</f>
        <v>264</v>
      </c>
      <c r="B3038" s="40" t="s">
        <v>2044</v>
      </c>
      <c r="C3038" s="21" t="s">
        <v>2793</v>
      </c>
      <c r="D3038" s="63"/>
      <c r="E3038" s="59">
        <v>45080</v>
      </c>
      <c r="F3038" s="59">
        <v>45080</v>
      </c>
      <c r="G3038" s="125">
        <f t="shared" si="68"/>
        <v>0</v>
      </c>
      <c r="H3038" s="241"/>
    </row>
    <row r="3039" spans="1:8" ht="16.5">
      <c r="A3039" s="3">
        <f>IF(E3039="","",COUNTA($E$2727:E3039))</f>
        <v>265</v>
      </c>
      <c r="B3039" s="40" t="s">
        <v>2045</v>
      </c>
      <c r="C3039" s="21" t="s">
        <v>2793</v>
      </c>
      <c r="D3039" s="63"/>
      <c r="E3039" s="59">
        <v>73600</v>
      </c>
      <c r="F3039" s="59">
        <v>73600</v>
      </c>
      <c r="G3039" s="125">
        <f t="shared" si="68"/>
        <v>0</v>
      </c>
      <c r="H3039" s="241"/>
    </row>
    <row r="3040" spans="1:8" ht="16.5">
      <c r="A3040" s="3">
        <f>IF(E3040="","",COUNTA($E$2727:E3040))</f>
        <v>266</v>
      </c>
      <c r="B3040" s="40" t="s">
        <v>2046</v>
      </c>
      <c r="C3040" s="21" t="s">
        <v>2793</v>
      </c>
      <c r="D3040" s="63"/>
      <c r="E3040" s="59">
        <v>90160</v>
      </c>
      <c r="F3040" s="59">
        <v>90160</v>
      </c>
      <c r="G3040" s="125">
        <f t="shared" si="68"/>
        <v>0</v>
      </c>
      <c r="H3040" s="241"/>
    </row>
    <row r="3041" spans="1:8" ht="34.5">
      <c r="A3041" s="3">
        <f>IF(E3041="","",COUNTA($E$2727:E3041))</f>
      </c>
      <c r="B3041" s="39" t="s">
        <v>905</v>
      </c>
      <c r="D3041" s="63"/>
      <c r="E3041" s="59"/>
      <c r="F3041" s="59"/>
      <c r="G3041" s="125"/>
      <c r="H3041" s="241"/>
    </row>
    <row r="3042" spans="1:8" ht="16.5">
      <c r="A3042" s="3">
        <f>IF(E3042="","",COUNTA($E$2727:E3042))</f>
        <v>267</v>
      </c>
      <c r="B3042" s="40" t="s">
        <v>2047</v>
      </c>
      <c r="C3042" s="21" t="s">
        <v>1446</v>
      </c>
      <c r="D3042" s="63"/>
      <c r="E3042" s="59">
        <v>4330</v>
      </c>
      <c r="F3042" s="59">
        <v>4330</v>
      </c>
      <c r="G3042" s="125">
        <f t="shared" si="68"/>
        <v>0</v>
      </c>
      <c r="H3042" s="241"/>
    </row>
    <row r="3043" spans="1:8" ht="16.5">
      <c r="A3043" s="3">
        <f>IF(E3043="","",COUNTA($E$2727:E3043))</f>
        <v>268</v>
      </c>
      <c r="B3043" s="40" t="s">
        <v>2048</v>
      </c>
      <c r="C3043" s="21" t="s">
        <v>2664</v>
      </c>
      <c r="D3043" s="63"/>
      <c r="E3043" s="59">
        <v>86480</v>
      </c>
      <c r="F3043" s="59">
        <v>86480</v>
      </c>
      <c r="G3043" s="125">
        <f t="shared" si="68"/>
        <v>0</v>
      </c>
      <c r="H3043" s="241"/>
    </row>
    <row r="3044" spans="1:8" ht="16.5">
      <c r="A3044" s="3">
        <f>IF(E3044="","",COUNTA($E$2727:E3044))</f>
        <v>269</v>
      </c>
      <c r="B3044" s="40" t="s">
        <v>2049</v>
      </c>
      <c r="C3044" s="21" t="s">
        <v>2664</v>
      </c>
      <c r="D3044" s="63"/>
      <c r="E3044" s="59">
        <v>131560</v>
      </c>
      <c r="F3044" s="59">
        <v>131560</v>
      </c>
      <c r="G3044" s="125">
        <f t="shared" si="68"/>
        <v>0</v>
      </c>
      <c r="H3044" s="241"/>
    </row>
    <row r="3045" spans="1:8" ht="16.5">
      <c r="A3045" s="3">
        <f>IF(E3045="","",COUNTA($E$2727:E3045))</f>
        <v>270</v>
      </c>
      <c r="B3045" s="40" t="s">
        <v>2050</v>
      </c>
      <c r="C3045" s="21" t="s">
        <v>2664</v>
      </c>
      <c r="D3045" s="63"/>
      <c r="E3045" s="59">
        <v>162840</v>
      </c>
      <c r="F3045" s="59">
        <v>162840</v>
      </c>
      <c r="G3045" s="125">
        <f t="shared" si="68"/>
        <v>0</v>
      </c>
      <c r="H3045" s="241"/>
    </row>
    <row r="3046" spans="1:8" ht="16.5">
      <c r="A3046" s="3">
        <f>IF(E3046="","",COUNTA($E$2727:E3046))</f>
        <v>271</v>
      </c>
      <c r="B3046" s="40" t="s">
        <v>2051</v>
      </c>
      <c r="C3046" s="21" t="s">
        <v>2664</v>
      </c>
      <c r="D3046" s="63"/>
      <c r="E3046" s="59">
        <v>11500</v>
      </c>
      <c r="F3046" s="59">
        <v>11500</v>
      </c>
      <c r="G3046" s="125">
        <f t="shared" si="68"/>
        <v>0</v>
      </c>
      <c r="H3046" s="241"/>
    </row>
    <row r="3047" spans="1:8" ht="16.5">
      <c r="A3047" s="3">
        <f>IF(E3047="","",COUNTA($E$2727:E3047))</f>
        <v>272</v>
      </c>
      <c r="B3047" s="40" t="s">
        <v>2052</v>
      </c>
      <c r="C3047" s="21" t="s">
        <v>2664</v>
      </c>
      <c r="D3047" s="63"/>
      <c r="E3047" s="59">
        <v>9390</v>
      </c>
      <c r="F3047" s="59">
        <v>9390</v>
      </c>
      <c r="G3047" s="125">
        <f t="shared" si="68"/>
        <v>0</v>
      </c>
      <c r="H3047" s="241"/>
    </row>
    <row r="3048" spans="1:8" ht="16.5">
      <c r="A3048" s="3">
        <f>IF(E3048="","",COUNTA($E$2727:E3048))</f>
        <v>273</v>
      </c>
      <c r="B3048" s="40" t="s">
        <v>2053</v>
      </c>
      <c r="C3048" s="21" t="s">
        <v>2664</v>
      </c>
      <c r="D3048" s="63"/>
      <c r="E3048" s="59">
        <v>16380</v>
      </c>
      <c r="F3048" s="59">
        <v>16380</v>
      </c>
      <c r="G3048" s="125">
        <f t="shared" si="68"/>
        <v>0</v>
      </c>
      <c r="H3048" s="241"/>
    </row>
    <row r="3049" spans="1:8" ht="16.5">
      <c r="A3049" s="3">
        <f>IF(E3049="","",COUNTA($E$2727:E3049))</f>
        <v>274</v>
      </c>
      <c r="B3049" s="40" t="s">
        <v>2054</v>
      </c>
      <c r="C3049" s="21" t="s">
        <v>2664</v>
      </c>
      <c r="D3049" s="63"/>
      <c r="E3049" s="59">
        <v>36990</v>
      </c>
      <c r="F3049" s="59">
        <v>36990</v>
      </c>
      <c r="G3049" s="125">
        <f t="shared" si="68"/>
        <v>0</v>
      </c>
      <c r="H3049" s="241"/>
    </row>
    <row r="3050" spans="1:8" ht="16.5">
      <c r="A3050" s="3">
        <f>IF(E3050="","",COUNTA($E$2727:E3050))</f>
        <v>275</v>
      </c>
      <c r="B3050" s="40" t="s">
        <v>2055</v>
      </c>
      <c r="C3050" s="21" t="s">
        <v>2664</v>
      </c>
      <c r="D3050" s="63"/>
      <c r="E3050" s="59">
        <v>45640</v>
      </c>
      <c r="F3050" s="59">
        <v>45640</v>
      </c>
      <c r="G3050" s="125">
        <f t="shared" si="68"/>
        <v>0</v>
      </c>
      <c r="H3050" s="241"/>
    </row>
    <row r="3051" spans="1:8" ht="16.5">
      <c r="A3051" s="3">
        <f>IF(E3051="","",COUNTA($E$2727:E3051))</f>
        <v>276</v>
      </c>
      <c r="B3051" s="40" t="s">
        <v>2056</v>
      </c>
      <c r="C3051" s="21" t="s">
        <v>2664</v>
      </c>
      <c r="D3051" s="63"/>
      <c r="E3051" s="59">
        <v>60352</v>
      </c>
      <c r="F3051" s="59">
        <v>60352</v>
      </c>
      <c r="G3051" s="125">
        <f t="shared" si="68"/>
        <v>0</v>
      </c>
      <c r="H3051" s="241"/>
    </row>
    <row r="3052" spans="1:8" ht="16.5">
      <c r="A3052" s="3">
        <f>IF(E3052="","",COUNTA($E$2727:E3052))</f>
        <v>277</v>
      </c>
      <c r="B3052" s="40" t="s">
        <v>2057</v>
      </c>
      <c r="C3052" s="21" t="s">
        <v>2664</v>
      </c>
      <c r="D3052" s="63"/>
      <c r="E3052" s="59">
        <v>38460</v>
      </c>
      <c r="F3052" s="59">
        <v>38460</v>
      </c>
      <c r="G3052" s="125">
        <f t="shared" si="68"/>
        <v>0</v>
      </c>
      <c r="H3052" s="241"/>
    </row>
    <row r="3053" spans="1:8" ht="16.5">
      <c r="A3053" s="3">
        <f>IF(E3053="","",COUNTA($E$2727:E3053))</f>
        <v>278</v>
      </c>
      <c r="B3053" s="40" t="s">
        <v>2058</v>
      </c>
      <c r="C3053" s="21" t="s">
        <v>2664</v>
      </c>
      <c r="D3053" s="63"/>
      <c r="E3053" s="59">
        <v>52440</v>
      </c>
      <c r="F3053" s="59">
        <v>52440</v>
      </c>
      <c r="G3053" s="125">
        <f t="shared" si="68"/>
        <v>0</v>
      </c>
      <c r="H3053" s="241"/>
    </row>
    <row r="3054" spans="1:8" ht="33">
      <c r="A3054" s="3">
        <f>IF(E3054="","",COUNTA($E$2727:E3054))</f>
        <v>279</v>
      </c>
      <c r="B3054" s="40" t="s">
        <v>2059</v>
      </c>
      <c r="C3054" s="21" t="s">
        <v>2664</v>
      </c>
      <c r="D3054" s="63"/>
      <c r="E3054" s="59">
        <v>44160</v>
      </c>
      <c r="F3054" s="59">
        <v>44160</v>
      </c>
      <c r="G3054" s="125">
        <f t="shared" si="68"/>
        <v>0</v>
      </c>
      <c r="H3054" s="241"/>
    </row>
    <row r="3055" spans="1:8" ht="33">
      <c r="A3055" s="3">
        <f>IF(E3055="","",COUNTA($E$2727:E3055))</f>
        <v>280</v>
      </c>
      <c r="B3055" s="40" t="s">
        <v>2060</v>
      </c>
      <c r="C3055" s="21" t="s">
        <v>2664</v>
      </c>
      <c r="D3055" s="63"/>
      <c r="E3055" s="59">
        <v>97160</v>
      </c>
      <c r="F3055" s="59">
        <v>97160</v>
      </c>
      <c r="G3055" s="125">
        <f t="shared" si="68"/>
        <v>0</v>
      </c>
      <c r="H3055" s="241"/>
    </row>
    <row r="3056" spans="1:8" ht="16.5">
      <c r="A3056" s="3">
        <f>IF(E3056="","",COUNTA($E$2727:E3056))</f>
        <v>281</v>
      </c>
      <c r="B3056" s="40" t="s">
        <v>2061</v>
      </c>
      <c r="C3056" s="21" t="s">
        <v>2664</v>
      </c>
      <c r="D3056" s="63"/>
      <c r="E3056" s="59">
        <v>131560</v>
      </c>
      <c r="F3056" s="59">
        <v>131560</v>
      </c>
      <c r="G3056" s="125">
        <f t="shared" si="68"/>
        <v>0</v>
      </c>
      <c r="H3056" s="241"/>
    </row>
    <row r="3057" spans="1:8" ht="16.5">
      <c r="A3057" s="3">
        <f>IF(E3057="","",COUNTA($E$2727:E3057))</f>
        <v>282</v>
      </c>
      <c r="B3057" s="40" t="s">
        <v>2062</v>
      </c>
      <c r="C3057" s="21" t="s">
        <v>2664</v>
      </c>
      <c r="D3057" s="63"/>
      <c r="E3057" s="59">
        <v>206080</v>
      </c>
      <c r="F3057" s="59">
        <v>206080</v>
      </c>
      <c r="G3057" s="125">
        <f t="shared" si="68"/>
        <v>0</v>
      </c>
      <c r="H3057" s="241"/>
    </row>
    <row r="3058" spans="1:8" ht="16.5">
      <c r="A3058" s="3">
        <f>IF(E3058="","",COUNTA($E$2727:E3058))</f>
        <v>283</v>
      </c>
      <c r="B3058" s="40" t="s">
        <v>2063</v>
      </c>
      <c r="C3058" s="21" t="s">
        <v>2664</v>
      </c>
      <c r="D3058" s="63"/>
      <c r="E3058" s="59">
        <v>640320</v>
      </c>
      <c r="F3058" s="59">
        <v>640320</v>
      </c>
      <c r="G3058" s="125">
        <f t="shared" si="68"/>
        <v>0</v>
      </c>
      <c r="H3058" s="241"/>
    </row>
    <row r="3059" spans="1:8" ht="16.5">
      <c r="A3059" s="3">
        <f>IF(E3059="","",COUNTA($E$2727:E3059))</f>
        <v>284</v>
      </c>
      <c r="B3059" s="40" t="s">
        <v>2064</v>
      </c>
      <c r="C3059" s="21" t="s">
        <v>2664</v>
      </c>
      <c r="D3059" s="63"/>
      <c r="E3059" s="59">
        <v>851920</v>
      </c>
      <c r="F3059" s="59">
        <v>851920</v>
      </c>
      <c r="G3059" s="125">
        <f t="shared" si="68"/>
        <v>0</v>
      </c>
      <c r="H3059" s="241"/>
    </row>
    <row r="3060" spans="1:8" ht="16.5">
      <c r="A3060" s="3">
        <f>IF(E3060="","",COUNTA($E$2727:E3060))</f>
        <v>285</v>
      </c>
      <c r="B3060" s="40" t="s">
        <v>2065</v>
      </c>
      <c r="C3060" s="21" t="s">
        <v>2664</v>
      </c>
      <c r="D3060" s="63"/>
      <c r="E3060" s="59">
        <v>1656000</v>
      </c>
      <c r="F3060" s="59">
        <v>1656000</v>
      </c>
      <c r="G3060" s="125">
        <f aca="true" t="shared" si="69" ref="G3060:G3124">(E3060-F3060)/E3060</f>
        <v>0</v>
      </c>
      <c r="H3060" s="241"/>
    </row>
    <row r="3061" spans="1:8" ht="34.5">
      <c r="A3061" s="3">
        <f>IF(E3061="","",COUNTA($E$2727:E3061))</f>
      </c>
      <c r="B3061" s="39" t="s">
        <v>906</v>
      </c>
      <c r="D3061" s="63"/>
      <c r="E3061" s="59"/>
      <c r="F3061" s="59"/>
      <c r="G3061" s="125"/>
      <c r="H3061" s="241"/>
    </row>
    <row r="3062" spans="1:8" ht="16.5">
      <c r="A3062" s="3">
        <f>IF(E3062="","",COUNTA($E$2727:E3062))</f>
        <v>286</v>
      </c>
      <c r="B3062" s="40" t="s">
        <v>2066</v>
      </c>
      <c r="C3062" s="21" t="s">
        <v>2664</v>
      </c>
      <c r="D3062" s="63"/>
      <c r="E3062" s="59">
        <v>417680</v>
      </c>
      <c r="F3062" s="59">
        <v>417680</v>
      </c>
      <c r="G3062" s="125">
        <f t="shared" si="69"/>
        <v>0</v>
      </c>
      <c r="H3062" s="241"/>
    </row>
    <row r="3063" spans="1:8" ht="16.5">
      <c r="A3063" s="3">
        <f>IF(E3063="","",COUNTA($E$2727:E3063))</f>
        <v>287</v>
      </c>
      <c r="B3063" s="40" t="s">
        <v>2067</v>
      </c>
      <c r="C3063" s="21" t="s">
        <v>2664</v>
      </c>
      <c r="D3063" s="63"/>
      <c r="E3063" s="59">
        <v>506000</v>
      </c>
      <c r="F3063" s="59">
        <v>506000</v>
      </c>
      <c r="G3063" s="125">
        <f t="shared" si="69"/>
        <v>0</v>
      </c>
      <c r="H3063" s="241"/>
    </row>
    <row r="3064" spans="1:8" ht="16.5">
      <c r="A3064" s="3">
        <f>IF(E3064="","",COUNTA($E$2727:E3064))</f>
        <v>288</v>
      </c>
      <c r="B3064" s="40" t="s">
        <v>2068</v>
      </c>
      <c r="C3064" s="21" t="s">
        <v>2664</v>
      </c>
      <c r="D3064" s="63"/>
      <c r="E3064" s="59">
        <v>349600</v>
      </c>
      <c r="F3064" s="59">
        <v>349600</v>
      </c>
      <c r="G3064" s="125">
        <f t="shared" si="69"/>
        <v>0</v>
      </c>
      <c r="H3064" s="241"/>
    </row>
    <row r="3065" spans="1:8" ht="16.5">
      <c r="A3065" s="3">
        <f>IF(E3065="","",COUNTA($E$2727:E3065))</f>
        <v>289</v>
      </c>
      <c r="B3065" s="40" t="s">
        <v>2069</v>
      </c>
      <c r="C3065" s="21" t="s">
        <v>2664</v>
      </c>
      <c r="D3065" s="63"/>
      <c r="E3065" s="59">
        <v>377200</v>
      </c>
      <c r="F3065" s="59">
        <v>377200</v>
      </c>
      <c r="G3065" s="125">
        <f t="shared" si="69"/>
        <v>0</v>
      </c>
      <c r="H3065" s="241"/>
    </row>
    <row r="3066" spans="1:8" ht="16.5">
      <c r="A3066" s="3">
        <f>IF(E3066="","",COUNTA($E$2727:E3066))</f>
        <v>290</v>
      </c>
      <c r="B3066" s="40" t="s">
        <v>2070</v>
      </c>
      <c r="C3066" s="21" t="s">
        <v>2664</v>
      </c>
      <c r="D3066" s="63"/>
      <c r="E3066" s="59">
        <v>529000</v>
      </c>
      <c r="F3066" s="59">
        <v>529000</v>
      </c>
      <c r="G3066" s="125">
        <f t="shared" si="69"/>
        <v>0</v>
      </c>
      <c r="H3066" s="241"/>
    </row>
    <row r="3067" spans="1:8" ht="34.5">
      <c r="A3067" s="3">
        <f>IF(E3067="","",COUNTA($E$2727:E3067))</f>
      </c>
      <c r="B3067" s="39" t="s">
        <v>907</v>
      </c>
      <c r="D3067" s="63"/>
      <c r="E3067" s="59"/>
      <c r="F3067" s="59"/>
      <c r="G3067" s="125"/>
      <c r="H3067" s="241"/>
    </row>
    <row r="3068" spans="1:8" ht="16.5">
      <c r="A3068" s="3">
        <f>IF(E3068="","",COUNTA($E$2727:E3068))</f>
        <v>291</v>
      </c>
      <c r="B3068" s="40" t="s">
        <v>2071</v>
      </c>
      <c r="C3068" s="21" t="s">
        <v>2793</v>
      </c>
      <c r="D3068" s="63"/>
      <c r="E3068" s="59">
        <v>4600</v>
      </c>
      <c r="F3068" s="59">
        <v>4600</v>
      </c>
      <c r="G3068" s="125">
        <f t="shared" si="69"/>
        <v>0</v>
      </c>
      <c r="H3068" s="241"/>
    </row>
    <row r="3069" spans="1:8" ht="16.5">
      <c r="A3069" s="3">
        <f>IF(E3069="","",COUNTA($E$2727:E3069))</f>
        <v>292</v>
      </c>
      <c r="B3069" s="40" t="s">
        <v>2072</v>
      </c>
      <c r="C3069" s="21" t="s">
        <v>2793</v>
      </c>
      <c r="D3069" s="63"/>
      <c r="E3069" s="59">
        <v>6990</v>
      </c>
      <c r="F3069" s="59">
        <v>6990</v>
      </c>
      <c r="G3069" s="125">
        <f t="shared" si="69"/>
        <v>0</v>
      </c>
      <c r="H3069" s="241"/>
    </row>
    <row r="3070" spans="1:8" ht="16.5">
      <c r="A3070" s="3">
        <f>IF(E3070="","",COUNTA($E$2727:E3070))</f>
        <v>293</v>
      </c>
      <c r="B3070" s="40" t="s">
        <v>2073</v>
      </c>
      <c r="C3070" s="21" t="s">
        <v>2793</v>
      </c>
      <c r="D3070" s="63"/>
      <c r="E3070" s="59">
        <v>8470</v>
      </c>
      <c r="F3070" s="59">
        <v>8470</v>
      </c>
      <c r="G3070" s="125">
        <f t="shared" si="69"/>
        <v>0</v>
      </c>
      <c r="H3070" s="241"/>
    </row>
    <row r="3071" spans="1:8" ht="16.5">
      <c r="A3071" s="3">
        <f>IF(E3071="","",COUNTA($E$2727:E3071))</f>
        <v>294</v>
      </c>
      <c r="B3071" s="40" t="s">
        <v>2074</v>
      </c>
      <c r="C3071" s="21" t="s">
        <v>2793</v>
      </c>
      <c r="D3071" s="63"/>
      <c r="E3071" s="59">
        <v>10230</v>
      </c>
      <c r="F3071" s="59">
        <v>10230</v>
      </c>
      <c r="G3071" s="125">
        <f t="shared" si="69"/>
        <v>0</v>
      </c>
      <c r="H3071" s="241"/>
    </row>
    <row r="3072" spans="1:8" ht="16.5">
      <c r="A3072" s="3">
        <f>IF(E3072="","",COUNTA($E$2727:E3072))</f>
        <v>295</v>
      </c>
      <c r="B3072" s="40" t="s">
        <v>2075</v>
      </c>
      <c r="C3072" s="21" t="s">
        <v>2793</v>
      </c>
      <c r="D3072" s="63"/>
      <c r="E3072" s="59">
        <v>17210</v>
      </c>
      <c r="F3072" s="59">
        <v>17210</v>
      </c>
      <c r="G3072" s="125">
        <f t="shared" si="69"/>
        <v>0</v>
      </c>
      <c r="H3072" s="241"/>
    </row>
    <row r="3073" spans="1:8" ht="33">
      <c r="A3073" s="3">
        <f>IF(E3073="","",COUNTA($E$2727:E3073))</f>
        <v>296</v>
      </c>
      <c r="B3073" s="40" t="s">
        <v>2076</v>
      </c>
      <c r="C3073" s="21" t="s">
        <v>2793</v>
      </c>
      <c r="D3073" s="63"/>
      <c r="E3073" s="59">
        <v>26130</v>
      </c>
      <c r="F3073" s="59">
        <v>26130</v>
      </c>
      <c r="G3073" s="125">
        <f t="shared" si="69"/>
        <v>0</v>
      </c>
      <c r="H3073" s="241"/>
    </row>
    <row r="3074" spans="1:8" ht="33">
      <c r="A3074" s="3">
        <f>IF(E3074="","",COUNTA($E$2727:E3074))</f>
        <v>297</v>
      </c>
      <c r="B3074" s="40" t="s">
        <v>2077</v>
      </c>
      <c r="C3074" s="21" t="s">
        <v>2793</v>
      </c>
      <c r="D3074" s="63"/>
      <c r="E3074" s="59">
        <v>34140</v>
      </c>
      <c r="F3074" s="59">
        <v>34140</v>
      </c>
      <c r="G3074" s="125">
        <f t="shared" si="69"/>
        <v>0</v>
      </c>
      <c r="H3074" s="242"/>
    </row>
    <row r="3075" spans="1:8" ht="17.25">
      <c r="A3075" s="3">
        <f>IF(E3075="","",COUNTA($E$2727:E3075))</f>
      </c>
      <c r="B3075" s="39" t="s">
        <v>900</v>
      </c>
      <c r="D3075" s="63"/>
      <c r="E3075" s="59"/>
      <c r="F3075" s="59"/>
      <c r="G3075" s="125"/>
      <c r="H3075" s="240" t="s">
        <v>822</v>
      </c>
    </row>
    <row r="3076" spans="1:8" ht="33">
      <c r="A3076" s="3">
        <f>IF(E3076="","",COUNTA($E$2727:E3076))</f>
        <v>298</v>
      </c>
      <c r="B3076" s="40" t="s">
        <v>823</v>
      </c>
      <c r="C3076" s="21" t="s">
        <v>2078</v>
      </c>
      <c r="D3076" s="247" t="s">
        <v>384</v>
      </c>
      <c r="E3076" s="59">
        <v>4406000</v>
      </c>
      <c r="F3076" s="59">
        <v>4406000</v>
      </c>
      <c r="G3076" s="125">
        <f t="shared" si="69"/>
        <v>0</v>
      </c>
      <c r="H3076" s="241"/>
    </row>
    <row r="3077" spans="1:8" ht="33">
      <c r="A3077" s="3">
        <f>IF(E3077="","",COUNTA($E$2727:E3077))</f>
        <v>299</v>
      </c>
      <c r="B3077" s="40" t="s">
        <v>824</v>
      </c>
      <c r="C3077" s="21" t="s">
        <v>2078</v>
      </c>
      <c r="D3077" s="247"/>
      <c r="E3077" s="59">
        <v>4913000</v>
      </c>
      <c r="F3077" s="59">
        <v>4913000</v>
      </c>
      <c r="G3077" s="125">
        <f t="shared" si="69"/>
        <v>0</v>
      </c>
      <c r="H3077" s="241"/>
    </row>
    <row r="3078" spans="1:8" ht="33">
      <c r="A3078" s="3">
        <f>IF(E3078="","",COUNTA($E$2727:E3078))</f>
        <v>300</v>
      </c>
      <c r="B3078" s="40" t="s">
        <v>825</v>
      </c>
      <c r="C3078" s="21" t="s">
        <v>2078</v>
      </c>
      <c r="D3078" s="247"/>
      <c r="E3078" s="59">
        <v>5796000</v>
      </c>
      <c r="F3078" s="59">
        <v>5796000</v>
      </c>
      <c r="G3078" s="125">
        <f t="shared" si="69"/>
        <v>0</v>
      </c>
      <c r="H3078" s="241"/>
    </row>
    <row r="3079" spans="1:8" ht="33">
      <c r="A3079" s="3">
        <f>IF(E3079="","",COUNTA($E$2727:E3079))</f>
        <v>301</v>
      </c>
      <c r="B3079" s="40" t="s">
        <v>826</v>
      </c>
      <c r="C3079" s="21" t="s">
        <v>2078</v>
      </c>
      <c r="D3079" s="247"/>
      <c r="E3079" s="59">
        <v>6407000</v>
      </c>
      <c r="F3079" s="59">
        <v>6407000</v>
      </c>
      <c r="G3079" s="125">
        <f t="shared" si="69"/>
        <v>0</v>
      </c>
      <c r="H3079" s="241"/>
    </row>
    <row r="3080" spans="1:8" ht="33">
      <c r="A3080" s="3">
        <f>IF(E3080="","",COUNTA($E$2727:E3080))</f>
        <v>302</v>
      </c>
      <c r="B3080" s="40" t="s">
        <v>827</v>
      </c>
      <c r="C3080" s="21" t="s">
        <v>2078</v>
      </c>
      <c r="D3080" s="247"/>
      <c r="E3080" s="59">
        <v>6591000</v>
      </c>
      <c r="F3080" s="59">
        <v>6591000</v>
      </c>
      <c r="G3080" s="125">
        <f t="shared" si="69"/>
        <v>0</v>
      </c>
      <c r="H3080" s="241"/>
    </row>
    <row r="3081" spans="1:8" ht="33">
      <c r="A3081" s="3">
        <f>IF(E3081="","",COUNTA($E$2727:E3081))</f>
        <v>303</v>
      </c>
      <c r="B3081" s="40" t="s">
        <v>828</v>
      </c>
      <c r="C3081" s="21" t="s">
        <v>2078</v>
      </c>
      <c r="D3081" s="247"/>
      <c r="E3081" s="59">
        <v>7334000</v>
      </c>
      <c r="F3081" s="59">
        <v>7334000</v>
      </c>
      <c r="G3081" s="125">
        <f t="shared" si="69"/>
        <v>0</v>
      </c>
      <c r="H3081" s="241"/>
    </row>
    <row r="3082" spans="1:8" ht="33">
      <c r="A3082" s="3">
        <f>IF(E3082="","",COUNTA($E$2727:E3082))</f>
        <v>304</v>
      </c>
      <c r="B3082" s="40" t="s">
        <v>383</v>
      </c>
      <c r="C3082" s="21" t="s">
        <v>2078</v>
      </c>
      <c r="D3082" s="247"/>
      <c r="E3082" s="59">
        <v>7370000</v>
      </c>
      <c r="F3082" s="116">
        <v>7370000</v>
      </c>
      <c r="G3082" s="125">
        <f t="shared" si="69"/>
        <v>0</v>
      </c>
      <c r="H3082" s="241"/>
    </row>
    <row r="3083" spans="1:8" ht="33">
      <c r="A3083" s="3">
        <f>IF(E3083="","",COUNTA($E$2727:E3083))</f>
        <v>305</v>
      </c>
      <c r="B3083" s="40" t="s">
        <v>829</v>
      </c>
      <c r="C3083" s="21" t="s">
        <v>2078</v>
      </c>
      <c r="D3083" s="247"/>
      <c r="E3083" s="59">
        <v>8419000</v>
      </c>
      <c r="F3083" s="59">
        <v>8419000</v>
      </c>
      <c r="G3083" s="125">
        <f t="shared" si="69"/>
        <v>0</v>
      </c>
      <c r="H3083" s="241"/>
    </row>
    <row r="3084" spans="1:8" ht="33">
      <c r="A3084" s="3">
        <f>IF(E3084="","",COUNTA($E$2727:E3084))</f>
        <v>306</v>
      </c>
      <c r="B3084" s="40" t="s">
        <v>830</v>
      </c>
      <c r="C3084" s="21" t="s">
        <v>2078</v>
      </c>
      <c r="D3084" s="247"/>
      <c r="E3084" s="59">
        <v>9510000</v>
      </c>
      <c r="F3084" s="59">
        <v>9510000</v>
      </c>
      <c r="G3084" s="125">
        <f t="shared" si="69"/>
        <v>0</v>
      </c>
      <c r="H3084" s="241"/>
    </row>
    <row r="3085" spans="1:8" ht="33">
      <c r="A3085" s="3">
        <f>IF(E3085="","",COUNTA($E$2727:E3085))</f>
        <v>307</v>
      </c>
      <c r="B3085" s="40" t="s">
        <v>831</v>
      </c>
      <c r="C3085" s="21" t="s">
        <v>2078</v>
      </c>
      <c r="D3085" s="247"/>
      <c r="E3085" s="59">
        <v>10693000</v>
      </c>
      <c r="F3085" s="59">
        <v>10693000</v>
      </c>
      <c r="G3085" s="125">
        <f t="shared" si="69"/>
        <v>0</v>
      </c>
      <c r="H3085" s="241"/>
    </row>
    <row r="3086" spans="1:8" ht="33">
      <c r="A3086" s="3">
        <f>IF(E3086="","",COUNTA($E$2727:E3086))</f>
        <v>308</v>
      </c>
      <c r="B3086" s="40" t="s">
        <v>832</v>
      </c>
      <c r="C3086" s="21" t="s">
        <v>2078</v>
      </c>
      <c r="D3086" s="247"/>
      <c r="E3086" s="59">
        <v>4662000</v>
      </c>
      <c r="F3086" s="59">
        <v>4662000</v>
      </c>
      <c r="G3086" s="125">
        <f t="shared" si="69"/>
        <v>0</v>
      </c>
      <c r="H3086" s="241"/>
    </row>
    <row r="3087" spans="1:8" ht="33">
      <c r="A3087" s="3">
        <f>IF(E3087="","",COUNTA($E$2727:E3087))</f>
        <v>309</v>
      </c>
      <c r="B3087" s="40" t="s">
        <v>833</v>
      </c>
      <c r="C3087" s="21" t="s">
        <v>2078</v>
      </c>
      <c r="D3087" s="247"/>
      <c r="E3087" s="59">
        <v>5249000</v>
      </c>
      <c r="F3087" s="59">
        <v>5249000</v>
      </c>
      <c r="G3087" s="125">
        <f t="shared" si="69"/>
        <v>0</v>
      </c>
      <c r="H3087" s="241"/>
    </row>
    <row r="3088" spans="1:8" ht="33">
      <c r="A3088" s="3">
        <f>IF(E3088="","",COUNTA($E$2727:E3088))</f>
        <v>310</v>
      </c>
      <c r="B3088" s="40" t="s">
        <v>834</v>
      </c>
      <c r="C3088" s="21" t="s">
        <v>2078</v>
      </c>
      <c r="D3088" s="247"/>
      <c r="E3088" s="59">
        <v>5871000</v>
      </c>
      <c r="F3088" s="59">
        <v>5871000</v>
      </c>
      <c r="G3088" s="125">
        <f t="shared" si="69"/>
        <v>0</v>
      </c>
      <c r="H3088" s="241"/>
    </row>
    <row r="3089" spans="1:8" ht="33">
      <c r="A3089" s="3">
        <f>IF(E3089="","",COUNTA($E$2727:E3089))</f>
        <v>311</v>
      </c>
      <c r="B3089" s="40" t="s">
        <v>835</v>
      </c>
      <c r="C3089" s="21" t="s">
        <v>2078</v>
      </c>
      <c r="D3089" s="247"/>
      <c r="E3089" s="59">
        <v>6714000</v>
      </c>
      <c r="F3089" s="59">
        <v>6714000</v>
      </c>
      <c r="G3089" s="125">
        <f t="shared" si="69"/>
        <v>0</v>
      </c>
      <c r="H3089" s="241"/>
    </row>
    <row r="3090" spans="1:8" ht="33">
      <c r="A3090" s="3">
        <f>IF(E3090="","",COUNTA($E$2727:E3090))</f>
        <v>312</v>
      </c>
      <c r="B3090" s="40" t="s">
        <v>836</v>
      </c>
      <c r="C3090" s="21" t="s">
        <v>2078</v>
      </c>
      <c r="D3090" s="247"/>
      <c r="E3090" s="59">
        <v>7440000</v>
      </c>
      <c r="F3090" s="59">
        <v>7440000</v>
      </c>
      <c r="G3090" s="125">
        <f t="shared" si="69"/>
        <v>0</v>
      </c>
      <c r="H3090" s="241"/>
    </row>
    <row r="3091" spans="1:8" ht="33">
      <c r="A3091" s="3">
        <f>IF(E3091="","",COUNTA($E$2727:E3091))</f>
        <v>313</v>
      </c>
      <c r="B3091" s="40" t="s">
        <v>837</v>
      </c>
      <c r="C3091" s="21" t="s">
        <v>2078</v>
      </c>
      <c r="D3091" s="247"/>
      <c r="E3091" s="59">
        <v>8433000</v>
      </c>
      <c r="F3091" s="59">
        <v>8433000</v>
      </c>
      <c r="G3091" s="125">
        <f t="shared" si="69"/>
        <v>0</v>
      </c>
      <c r="H3091" s="241"/>
    </row>
    <row r="3092" spans="1:8" ht="33">
      <c r="A3092" s="3">
        <f>IF(E3092="","",COUNTA($E$2727:E3092))</f>
        <v>314</v>
      </c>
      <c r="B3092" s="40" t="s">
        <v>838</v>
      </c>
      <c r="C3092" s="21" t="s">
        <v>2078</v>
      </c>
      <c r="D3092" s="247"/>
      <c r="E3092" s="59">
        <v>9483000</v>
      </c>
      <c r="F3092" s="59">
        <v>9483000</v>
      </c>
      <c r="G3092" s="125">
        <f t="shared" si="69"/>
        <v>0</v>
      </c>
      <c r="H3092" s="241"/>
    </row>
    <row r="3093" spans="1:8" ht="16.5">
      <c r="A3093" s="3">
        <f>IF(E3093="","",COUNTA($E$2727:E3093))</f>
        <v>315</v>
      </c>
      <c r="B3093" s="40" t="s">
        <v>839</v>
      </c>
      <c r="C3093" s="21" t="s">
        <v>2078</v>
      </c>
      <c r="D3093" s="247"/>
      <c r="E3093" s="59">
        <v>6682000</v>
      </c>
      <c r="F3093" s="59">
        <v>6682000</v>
      </c>
      <c r="G3093" s="125">
        <f t="shared" si="69"/>
        <v>0</v>
      </c>
      <c r="H3093" s="241"/>
    </row>
    <row r="3094" spans="1:8" ht="16.5">
      <c r="A3094" s="3">
        <f>IF(E3094="","",COUNTA($E$2727:E3094))</f>
        <v>316</v>
      </c>
      <c r="B3094" s="40" t="s">
        <v>840</v>
      </c>
      <c r="C3094" s="21" t="s">
        <v>2078</v>
      </c>
      <c r="D3094" s="247"/>
      <c r="E3094" s="59">
        <v>7607000</v>
      </c>
      <c r="F3094" s="59">
        <v>7607000</v>
      </c>
      <c r="G3094" s="125">
        <f t="shared" si="69"/>
        <v>0</v>
      </c>
      <c r="H3094" s="241"/>
    </row>
    <row r="3095" spans="1:8" ht="16.5">
      <c r="A3095" s="3">
        <f>IF(E3095="","",COUNTA($E$2727:E3095))</f>
        <v>317</v>
      </c>
      <c r="B3095" s="40" t="s">
        <v>841</v>
      </c>
      <c r="C3095" s="21" t="s">
        <v>2078</v>
      </c>
      <c r="D3095" s="247"/>
      <c r="E3095" s="59">
        <v>8472000</v>
      </c>
      <c r="F3095" s="59">
        <v>8472000</v>
      </c>
      <c r="G3095" s="125">
        <f t="shared" si="69"/>
        <v>0</v>
      </c>
      <c r="H3095" s="241"/>
    </row>
    <row r="3096" spans="1:8" ht="16.5">
      <c r="A3096" s="3">
        <f>IF(E3096="","",COUNTA($E$2727:E3096))</f>
        <v>318</v>
      </c>
      <c r="B3096" s="40" t="s">
        <v>842</v>
      </c>
      <c r="C3096" s="21" t="s">
        <v>2078</v>
      </c>
      <c r="D3096" s="247"/>
      <c r="E3096" s="59">
        <v>9724000</v>
      </c>
      <c r="F3096" s="59">
        <v>9724000</v>
      </c>
      <c r="G3096" s="125">
        <f t="shared" si="69"/>
        <v>0</v>
      </c>
      <c r="H3096" s="241"/>
    </row>
    <row r="3097" spans="1:8" ht="16.5">
      <c r="A3097" s="3">
        <f>IF(E3097="","",COUNTA($E$2727:E3097))</f>
        <v>319</v>
      </c>
      <c r="B3097" s="40" t="s">
        <v>843</v>
      </c>
      <c r="C3097" s="21" t="s">
        <v>2078</v>
      </c>
      <c r="D3097" s="247"/>
      <c r="E3097" s="59">
        <v>10983000</v>
      </c>
      <c r="F3097" s="59">
        <v>10983000</v>
      </c>
      <c r="G3097" s="125">
        <f t="shared" si="69"/>
        <v>0</v>
      </c>
      <c r="H3097" s="241"/>
    </row>
    <row r="3098" spans="1:8" ht="16.5" customHeight="1">
      <c r="A3098" s="3">
        <f>IF(E3098="","",COUNTA($E$2727:E3098))</f>
        <v>320</v>
      </c>
      <c r="B3098" s="40" t="s">
        <v>844</v>
      </c>
      <c r="C3098" s="21" t="s">
        <v>2078</v>
      </c>
      <c r="D3098" s="247"/>
      <c r="E3098" s="59">
        <v>12300000</v>
      </c>
      <c r="F3098" s="59">
        <v>12300000</v>
      </c>
      <c r="G3098" s="125">
        <f t="shared" si="69"/>
        <v>0</v>
      </c>
      <c r="H3098" s="241"/>
    </row>
    <row r="3099" spans="1:8" ht="16.5" customHeight="1">
      <c r="A3099" s="3">
        <f>IF(E3099="","",COUNTA($E$2727:E3099))</f>
        <v>321</v>
      </c>
      <c r="B3099" s="40" t="s">
        <v>845</v>
      </c>
      <c r="C3099" s="21" t="s">
        <v>2078</v>
      </c>
      <c r="D3099" s="247"/>
      <c r="E3099" s="59">
        <v>13000000</v>
      </c>
      <c r="F3099" s="59">
        <v>13000000</v>
      </c>
      <c r="G3099" s="125">
        <f t="shared" si="69"/>
        <v>0</v>
      </c>
      <c r="H3099" s="241"/>
    </row>
    <row r="3100" spans="1:8" ht="16.5" customHeight="1">
      <c r="A3100" s="3">
        <f>IF(E3100="","",COUNTA($E$2727:E3100))</f>
        <v>322</v>
      </c>
      <c r="B3100" s="40" t="s">
        <v>846</v>
      </c>
      <c r="C3100" s="21" t="s">
        <v>2078</v>
      </c>
      <c r="D3100" s="247"/>
      <c r="E3100" s="59">
        <v>15500000</v>
      </c>
      <c r="F3100" s="59">
        <v>15500000</v>
      </c>
      <c r="G3100" s="125">
        <f t="shared" si="69"/>
        <v>0</v>
      </c>
      <c r="H3100" s="241"/>
    </row>
    <row r="3101" spans="1:8" ht="16.5" customHeight="1">
      <c r="A3101" s="3">
        <f>IF(E3101="","",COUNTA($E$2727:E3101))</f>
        <v>323</v>
      </c>
      <c r="B3101" s="40" t="s">
        <v>847</v>
      </c>
      <c r="C3101" s="21" t="s">
        <v>2078</v>
      </c>
      <c r="D3101" s="247" t="s">
        <v>901</v>
      </c>
      <c r="E3101" s="59">
        <v>14600000</v>
      </c>
      <c r="F3101" s="59">
        <v>14600000</v>
      </c>
      <c r="G3101" s="125">
        <f t="shared" si="69"/>
        <v>0</v>
      </c>
      <c r="H3101" s="241"/>
    </row>
    <row r="3102" spans="1:8" ht="16.5" customHeight="1">
      <c r="A3102" s="3">
        <f>IF(E3102="","",COUNTA($E$2727:E3102))</f>
        <v>324</v>
      </c>
      <c r="B3102" s="40" t="s">
        <v>848</v>
      </c>
      <c r="C3102" s="21" t="s">
        <v>2078</v>
      </c>
      <c r="D3102" s="247"/>
      <c r="E3102" s="59">
        <v>17100000</v>
      </c>
      <c r="F3102" s="59">
        <v>17100000</v>
      </c>
      <c r="G3102" s="125">
        <f t="shared" si="69"/>
        <v>0</v>
      </c>
      <c r="H3102" s="241"/>
    </row>
    <row r="3103" spans="1:8" ht="16.5" customHeight="1">
      <c r="A3103" s="3">
        <f>IF(E3103="","",COUNTA($E$2727:E3103))</f>
        <v>325</v>
      </c>
      <c r="B3103" s="40" t="s">
        <v>849</v>
      </c>
      <c r="C3103" s="21" t="s">
        <v>2078</v>
      </c>
      <c r="D3103" s="247"/>
      <c r="E3103" s="59">
        <v>13452000</v>
      </c>
      <c r="F3103" s="59">
        <v>13452000</v>
      </c>
      <c r="G3103" s="125">
        <f t="shared" si="69"/>
        <v>0</v>
      </c>
      <c r="H3103" s="241"/>
    </row>
    <row r="3104" spans="1:8" ht="16.5" customHeight="1">
      <c r="A3104" s="3">
        <f>IF(E3104="","",COUNTA($E$2727:E3104))</f>
        <v>326</v>
      </c>
      <c r="B3104" s="40" t="s">
        <v>850</v>
      </c>
      <c r="C3104" s="21" t="s">
        <v>2078</v>
      </c>
      <c r="D3104" s="247"/>
      <c r="E3104" s="59">
        <v>15406000</v>
      </c>
      <c r="F3104" s="59">
        <v>15406000</v>
      </c>
      <c r="G3104" s="125">
        <f t="shared" si="69"/>
        <v>0</v>
      </c>
      <c r="H3104" s="241"/>
    </row>
    <row r="3105" spans="1:8" ht="16.5" customHeight="1">
      <c r="A3105" s="3">
        <f>IF(E3105="","",COUNTA($E$2727:E3105))</f>
        <v>327</v>
      </c>
      <c r="B3105" s="40" t="s">
        <v>851</v>
      </c>
      <c r="C3105" s="21" t="s">
        <v>2078</v>
      </c>
      <c r="D3105" s="247"/>
      <c r="E3105" s="59">
        <v>13800000</v>
      </c>
      <c r="F3105" s="59">
        <v>13800000</v>
      </c>
      <c r="G3105" s="125">
        <f t="shared" si="69"/>
        <v>0</v>
      </c>
      <c r="H3105" s="241"/>
    </row>
    <row r="3106" spans="1:8" ht="16.5" customHeight="1">
      <c r="A3106" s="3">
        <f>IF(E3106="","",COUNTA($E$2727:E3106))</f>
        <v>328</v>
      </c>
      <c r="B3106" s="40" t="s">
        <v>852</v>
      </c>
      <c r="C3106" s="21" t="s">
        <v>2078</v>
      </c>
      <c r="D3106" s="247"/>
      <c r="E3106" s="59">
        <v>14100000</v>
      </c>
      <c r="F3106" s="59">
        <v>14100000</v>
      </c>
      <c r="G3106" s="125">
        <f t="shared" si="69"/>
        <v>0</v>
      </c>
      <c r="H3106" s="241"/>
    </row>
    <row r="3107" spans="1:8" ht="16.5" customHeight="1">
      <c r="A3107" s="3">
        <f>IF(E3107="","",COUNTA($E$2727:E3107))</f>
        <v>329</v>
      </c>
      <c r="B3107" s="40" t="s">
        <v>853</v>
      </c>
      <c r="C3107" s="21" t="s">
        <v>2078</v>
      </c>
      <c r="D3107" s="247"/>
      <c r="E3107" s="59">
        <v>15700000</v>
      </c>
      <c r="F3107" s="59">
        <v>15700000</v>
      </c>
      <c r="G3107" s="125">
        <f t="shared" si="69"/>
        <v>0</v>
      </c>
      <c r="H3107" s="241"/>
    </row>
    <row r="3108" spans="1:8" ht="33">
      <c r="A3108" s="3">
        <f>IF(E3108="","",COUNTA($E$2727:E3108))</f>
        <v>330</v>
      </c>
      <c r="B3108" s="40" t="s">
        <v>854</v>
      </c>
      <c r="C3108" s="21" t="s">
        <v>899</v>
      </c>
      <c r="D3108" s="247"/>
      <c r="E3108" s="59">
        <v>1889000</v>
      </c>
      <c r="F3108" s="59">
        <v>1889000</v>
      </c>
      <c r="G3108" s="125">
        <f t="shared" si="69"/>
        <v>0</v>
      </c>
      <c r="H3108" s="241"/>
    </row>
    <row r="3109" spans="1:8" ht="33">
      <c r="A3109" s="3">
        <f>IF(E3109="","",COUNTA($E$2727:E3109))</f>
        <v>331</v>
      </c>
      <c r="B3109" s="40" t="s">
        <v>855</v>
      </c>
      <c r="C3109" s="21" t="s">
        <v>899</v>
      </c>
      <c r="D3109" s="247"/>
      <c r="E3109" s="59">
        <v>1843000</v>
      </c>
      <c r="F3109" s="59">
        <v>1843000</v>
      </c>
      <c r="G3109" s="125">
        <f t="shared" si="69"/>
        <v>0</v>
      </c>
      <c r="H3109" s="241"/>
    </row>
    <row r="3110" spans="1:8" ht="33">
      <c r="A3110" s="3">
        <f>IF(E3110="","",COUNTA($E$2727:E3110))</f>
        <v>332</v>
      </c>
      <c r="B3110" s="40" t="s">
        <v>856</v>
      </c>
      <c r="C3110" s="21" t="s">
        <v>899</v>
      </c>
      <c r="D3110" s="247"/>
      <c r="E3110" s="59">
        <v>1902000</v>
      </c>
      <c r="F3110" s="59">
        <v>1902000</v>
      </c>
      <c r="G3110" s="125">
        <f t="shared" si="69"/>
        <v>0</v>
      </c>
      <c r="H3110" s="241"/>
    </row>
    <row r="3111" spans="1:8" ht="33">
      <c r="A3111" s="3">
        <f>IF(E3111="","",COUNTA($E$2727:E3111))</f>
        <v>333</v>
      </c>
      <c r="B3111" s="40" t="s">
        <v>857</v>
      </c>
      <c r="C3111" s="21" t="s">
        <v>899</v>
      </c>
      <c r="D3111" s="247"/>
      <c r="E3111" s="59">
        <v>1700000</v>
      </c>
      <c r="F3111" s="59">
        <v>1700000</v>
      </c>
      <c r="G3111" s="125">
        <f t="shared" si="69"/>
        <v>0</v>
      </c>
      <c r="H3111" s="241"/>
    </row>
    <row r="3112" spans="1:8" ht="33">
      <c r="A3112" s="3">
        <f>IF(E3112="","",COUNTA($E$2727:E3112))</f>
        <v>334</v>
      </c>
      <c r="B3112" s="40" t="s">
        <v>858</v>
      </c>
      <c r="C3112" s="21" t="s">
        <v>899</v>
      </c>
      <c r="D3112" s="247"/>
      <c r="E3112" s="59">
        <v>1151000</v>
      </c>
      <c r="F3112" s="59">
        <v>1151000</v>
      </c>
      <c r="G3112" s="125">
        <f t="shared" si="69"/>
        <v>0</v>
      </c>
      <c r="H3112" s="241"/>
    </row>
    <row r="3113" spans="1:8" ht="33">
      <c r="A3113" s="3">
        <f>IF(E3113="","",COUNTA($E$2727:E3113))</f>
        <v>335</v>
      </c>
      <c r="B3113" s="40" t="s">
        <v>859</v>
      </c>
      <c r="C3113" s="21" t="s">
        <v>899</v>
      </c>
      <c r="D3113" s="247"/>
      <c r="E3113" s="59">
        <v>2811000</v>
      </c>
      <c r="F3113" s="59">
        <v>2811000</v>
      </c>
      <c r="G3113" s="125">
        <f t="shared" si="69"/>
        <v>0</v>
      </c>
      <c r="H3113" s="241"/>
    </row>
    <row r="3114" spans="1:8" ht="33">
      <c r="A3114" s="3">
        <f>IF(E3114="","",COUNTA($E$2727:E3114))</f>
        <v>336</v>
      </c>
      <c r="B3114" s="40" t="s">
        <v>860</v>
      </c>
      <c r="C3114" s="21" t="s">
        <v>899</v>
      </c>
      <c r="D3114" s="247"/>
      <c r="E3114" s="59">
        <v>2850000</v>
      </c>
      <c r="F3114" s="59">
        <v>2850000</v>
      </c>
      <c r="G3114" s="125">
        <f t="shared" si="69"/>
        <v>0</v>
      </c>
      <c r="H3114" s="241"/>
    </row>
    <row r="3115" spans="1:8" ht="33">
      <c r="A3115" s="3">
        <f>IF(E3115="","",COUNTA($E$2727:E3115))</f>
        <v>337</v>
      </c>
      <c r="B3115" s="40" t="s">
        <v>861</v>
      </c>
      <c r="C3115" s="21" t="s">
        <v>899</v>
      </c>
      <c r="D3115" s="247"/>
      <c r="E3115" s="59">
        <v>2386000</v>
      </c>
      <c r="F3115" s="59">
        <v>2386000</v>
      </c>
      <c r="G3115" s="125">
        <f t="shared" si="69"/>
        <v>0</v>
      </c>
      <c r="H3115" s="241"/>
    </row>
    <row r="3116" spans="1:8" ht="33">
      <c r="A3116" s="3">
        <f>IF(E3116="","",COUNTA($E$2727:E3116))</f>
        <v>338</v>
      </c>
      <c r="B3116" s="40" t="s">
        <v>862</v>
      </c>
      <c r="C3116" s="21" t="s">
        <v>2078</v>
      </c>
      <c r="D3116" s="247"/>
      <c r="E3116" s="59">
        <v>2562000</v>
      </c>
      <c r="F3116" s="59">
        <v>2562000</v>
      </c>
      <c r="G3116" s="125">
        <f t="shared" si="69"/>
        <v>0</v>
      </c>
      <c r="H3116" s="241"/>
    </row>
    <row r="3117" spans="1:8" ht="33">
      <c r="A3117" s="3">
        <f>IF(E3117="","",COUNTA($E$2727:E3117))</f>
        <v>339</v>
      </c>
      <c r="B3117" s="40" t="s">
        <v>863</v>
      </c>
      <c r="C3117" s="21" t="s">
        <v>2078</v>
      </c>
      <c r="D3117" s="247"/>
      <c r="E3117" s="59">
        <v>1824000</v>
      </c>
      <c r="F3117" s="59">
        <v>1824000</v>
      </c>
      <c r="G3117" s="125">
        <f t="shared" si="69"/>
        <v>0</v>
      </c>
      <c r="H3117" s="241"/>
    </row>
    <row r="3118" spans="1:8" ht="16.5">
      <c r="A3118" s="3">
        <f>IF(E3118="","",COUNTA($E$2727:E3118))</f>
        <v>340</v>
      </c>
      <c r="B3118" s="40" t="s">
        <v>3081</v>
      </c>
      <c r="C3118" s="21" t="s">
        <v>1950</v>
      </c>
      <c r="D3118" s="247" t="s">
        <v>902</v>
      </c>
      <c r="E3118" s="59">
        <v>6400000</v>
      </c>
      <c r="F3118" s="59">
        <v>6400000</v>
      </c>
      <c r="G3118" s="125">
        <f t="shared" si="69"/>
        <v>0</v>
      </c>
      <c r="H3118" s="241"/>
    </row>
    <row r="3119" spans="1:8" ht="16.5">
      <c r="A3119" s="3">
        <f>IF(E3119="","",COUNTA($E$2727:E3119))</f>
        <v>341</v>
      </c>
      <c r="B3119" s="40" t="s">
        <v>385</v>
      </c>
      <c r="C3119" s="21" t="s">
        <v>1950</v>
      </c>
      <c r="D3119" s="247"/>
      <c r="E3119" s="59">
        <v>7400000</v>
      </c>
      <c r="F3119" s="59">
        <v>7400000</v>
      </c>
      <c r="G3119" s="125">
        <f t="shared" si="69"/>
        <v>0</v>
      </c>
      <c r="H3119" s="241"/>
    </row>
    <row r="3120" spans="1:8" ht="16.5">
      <c r="A3120" s="3">
        <f>IF(E3120="","",COUNTA($E$2727:E3120))</f>
        <v>342</v>
      </c>
      <c r="B3120" s="40" t="s">
        <v>864</v>
      </c>
      <c r="C3120" s="21" t="s">
        <v>1950</v>
      </c>
      <c r="D3120" s="247"/>
      <c r="E3120" s="59">
        <v>8800000</v>
      </c>
      <c r="F3120" s="59">
        <v>8800000</v>
      </c>
      <c r="G3120" s="125">
        <f t="shared" si="69"/>
        <v>0</v>
      </c>
      <c r="H3120" s="241"/>
    </row>
    <row r="3121" spans="1:8" ht="16.5">
      <c r="A3121" s="3">
        <f>IF(E3121="","",COUNTA($E$2727:E3121))</f>
        <v>343</v>
      </c>
      <c r="B3121" s="40" t="s">
        <v>865</v>
      </c>
      <c r="C3121" s="21" t="s">
        <v>1950</v>
      </c>
      <c r="D3121" s="247"/>
      <c r="E3121" s="59">
        <v>9900000</v>
      </c>
      <c r="F3121" s="59">
        <v>9900000</v>
      </c>
      <c r="G3121" s="125">
        <f t="shared" si="69"/>
        <v>0</v>
      </c>
      <c r="H3121" s="241"/>
    </row>
    <row r="3122" spans="1:8" ht="16.5">
      <c r="A3122" s="3">
        <f>IF(E3122="","",COUNTA($E$2727:E3122))</f>
        <v>344</v>
      </c>
      <c r="B3122" s="40" t="s">
        <v>866</v>
      </c>
      <c r="C3122" s="21" t="s">
        <v>1950</v>
      </c>
      <c r="D3122" s="247"/>
      <c r="E3122" s="59">
        <v>6200000</v>
      </c>
      <c r="F3122" s="59">
        <v>6200000</v>
      </c>
      <c r="G3122" s="125">
        <f t="shared" si="69"/>
        <v>0</v>
      </c>
      <c r="H3122" s="241"/>
    </row>
    <row r="3123" spans="1:8" ht="16.5">
      <c r="A3123" s="3">
        <f>IF(E3123="","",COUNTA($E$2727:E3123))</f>
        <v>345</v>
      </c>
      <c r="B3123" s="40" t="s">
        <v>867</v>
      </c>
      <c r="C3123" s="21" t="s">
        <v>1950</v>
      </c>
      <c r="D3123" s="247"/>
      <c r="E3123" s="59">
        <v>6600000</v>
      </c>
      <c r="F3123" s="59">
        <v>6600000</v>
      </c>
      <c r="G3123" s="125">
        <f t="shared" si="69"/>
        <v>0</v>
      </c>
      <c r="H3123" s="241"/>
    </row>
    <row r="3124" spans="1:8" ht="16.5">
      <c r="A3124" s="3">
        <f>IF(E3124="","",COUNTA($E$2727:E3124))</f>
        <v>346</v>
      </c>
      <c r="B3124" s="40" t="s">
        <v>868</v>
      </c>
      <c r="C3124" s="21" t="s">
        <v>1950</v>
      </c>
      <c r="D3124" s="247"/>
      <c r="E3124" s="59">
        <v>7600000</v>
      </c>
      <c r="F3124" s="59">
        <v>7600000</v>
      </c>
      <c r="G3124" s="125">
        <f t="shared" si="69"/>
        <v>0</v>
      </c>
      <c r="H3124" s="241"/>
    </row>
    <row r="3125" spans="1:8" ht="16.5">
      <c r="A3125" s="3">
        <f>IF(E3125="","",COUNTA($E$2727:E3125))</f>
        <v>347</v>
      </c>
      <c r="B3125" s="40" t="s">
        <v>869</v>
      </c>
      <c r="C3125" s="21" t="s">
        <v>1950</v>
      </c>
      <c r="D3125" s="247"/>
      <c r="E3125" s="59">
        <v>8300000</v>
      </c>
      <c r="F3125" s="59">
        <v>8300000</v>
      </c>
      <c r="G3125" s="125">
        <f aca="true" t="shared" si="70" ref="G3125:G3189">(E3125-F3125)/E3125</f>
        <v>0</v>
      </c>
      <c r="H3125" s="241"/>
    </row>
    <row r="3126" spans="1:8" ht="16.5">
      <c r="A3126" s="3">
        <f>IF(E3126="","",COUNTA($E$2727:E3126))</f>
        <v>348</v>
      </c>
      <c r="B3126" s="40" t="s">
        <v>870</v>
      </c>
      <c r="C3126" s="21" t="s">
        <v>1950</v>
      </c>
      <c r="D3126" s="247" t="s">
        <v>902</v>
      </c>
      <c r="E3126" s="59">
        <v>9000000</v>
      </c>
      <c r="F3126" s="59">
        <v>9000000</v>
      </c>
      <c r="G3126" s="125">
        <f t="shared" si="70"/>
        <v>0</v>
      </c>
      <c r="H3126" s="241"/>
    </row>
    <row r="3127" spans="1:8" ht="16.5">
      <c r="A3127" s="3">
        <f>IF(E3127="","",COUNTA($E$2727:E3127))</f>
        <v>349</v>
      </c>
      <c r="B3127" s="40" t="s">
        <v>386</v>
      </c>
      <c r="C3127" s="21" t="s">
        <v>1950</v>
      </c>
      <c r="D3127" s="276"/>
      <c r="E3127" s="59">
        <v>6200000</v>
      </c>
      <c r="F3127" s="59">
        <v>6200000</v>
      </c>
      <c r="G3127" s="125">
        <f t="shared" si="70"/>
        <v>0</v>
      </c>
      <c r="H3127" s="241"/>
    </row>
    <row r="3128" spans="1:8" ht="16.5">
      <c r="A3128" s="3">
        <f>IF(E3128="","",COUNTA($E$2727:E3128))</f>
        <v>350</v>
      </c>
      <c r="B3128" s="40" t="s">
        <v>871</v>
      </c>
      <c r="C3128" s="21" t="s">
        <v>1950</v>
      </c>
      <c r="D3128" s="276"/>
      <c r="E3128" s="59">
        <v>7200000</v>
      </c>
      <c r="F3128" s="59">
        <v>7200000</v>
      </c>
      <c r="G3128" s="125">
        <f t="shared" si="70"/>
        <v>0</v>
      </c>
      <c r="H3128" s="241"/>
    </row>
    <row r="3129" spans="1:8" ht="16.5">
      <c r="A3129" s="3">
        <f>IF(E3129="","",COUNTA($E$2727:E3129))</f>
        <v>351</v>
      </c>
      <c r="B3129" s="40" t="s">
        <v>872</v>
      </c>
      <c r="C3129" s="21" t="s">
        <v>1950</v>
      </c>
      <c r="D3129" s="276"/>
      <c r="E3129" s="59">
        <v>5900000</v>
      </c>
      <c r="F3129" s="59">
        <v>5900000</v>
      </c>
      <c r="G3129" s="125">
        <f t="shared" si="70"/>
        <v>0</v>
      </c>
      <c r="H3129" s="241"/>
    </row>
    <row r="3130" spans="1:8" ht="16.5">
      <c r="A3130" s="3">
        <f>IF(E3130="","",COUNTA($E$2727:E3130))</f>
        <v>352</v>
      </c>
      <c r="B3130" s="40" t="s">
        <v>873</v>
      </c>
      <c r="C3130" s="21" t="s">
        <v>1950</v>
      </c>
      <c r="D3130" s="276"/>
      <c r="E3130" s="59">
        <v>7400000</v>
      </c>
      <c r="F3130" s="59">
        <v>7400000</v>
      </c>
      <c r="G3130" s="125">
        <f t="shared" si="70"/>
        <v>0</v>
      </c>
      <c r="H3130" s="241"/>
    </row>
    <row r="3131" spans="1:8" ht="16.5">
      <c r="A3131" s="3">
        <f>IF(E3131="","",COUNTA($E$2727:E3131))</f>
        <v>353</v>
      </c>
      <c r="B3131" s="40" t="s">
        <v>874</v>
      </c>
      <c r="C3131" s="21" t="s">
        <v>1950</v>
      </c>
      <c r="D3131" s="276"/>
      <c r="E3131" s="59">
        <v>8500000</v>
      </c>
      <c r="F3131" s="59">
        <v>8500000</v>
      </c>
      <c r="G3131" s="125">
        <f t="shared" si="70"/>
        <v>0</v>
      </c>
      <c r="H3131" s="241"/>
    </row>
    <row r="3132" spans="1:8" ht="16.5">
      <c r="A3132" s="3">
        <f>IF(E3132="","",COUNTA($E$2727:E3132))</f>
        <v>354</v>
      </c>
      <c r="B3132" s="40" t="s">
        <v>387</v>
      </c>
      <c r="C3132" s="21" t="s">
        <v>1950</v>
      </c>
      <c r="D3132" s="276"/>
      <c r="E3132" s="59">
        <v>11900000</v>
      </c>
      <c r="F3132" s="59"/>
      <c r="G3132" s="125">
        <f t="shared" si="70"/>
        <v>1</v>
      </c>
      <c r="H3132" s="241"/>
    </row>
    <row r="3133" spans="1:8" ht="16.5">
      <c r="A3133" s="3">
        <f>IF(E3133="","",COUNTA($E$2727:E3133))</f>
        <v>355</v>
      </c>
      <c r="B3133" s="40" t="s">
        <v>875</v>
      </c>
      <c r="C3133" s="21" t="s">
        <v>1950</v>
      </c>
      <c r="D3133" s="276"/>
      <c r="E3133" s="59">
        <v>17600000</v>
      </c>
      <c r="F3133" s="59">
        <v>17600000</v>
      </c>
      <c r="G3133" s="125">
        <f t="shared" si="70"/>
        <v>0</v>
      </c>
      <c r="H3133" s="241"/>
    </row>
    <row r="3134" spans="1:8" ht="16.5">
      <c r="A3134" s="3">
        <f>IF(E3134="","",COUNTA($E$2727:E3134))</f>
        <v>356</v>
      </c>
      <c r="B3134" s="40" t="s">
        <v>876</v>
      </c>
      <c r="C3134" s="21" t="s">
        <v>1950</v>
      </c>
      <c r="D3134" s="276"/>
      <c r="E3134" s="59">
        <v>6000000</v>
      </c>
      <c r="F3134" s="59">
        <v>6000000</v>
      </c>
      <c r="G3134" s="125">
        <f t="shared" si="70"/>
        <v>0</v>
      </c>
      <c r="H3134" s="241"/>
    </row>
    <row r="3135" spans="1:8" ht="16.5">
      <c r="A3135" s="3">
        <f>IF(E3135="","",COUNTA($E$2727:E3135))</f>
        <v>357</v>
      </c>
      <c r="B3135" s="40" t="s">
        <v>877</v>
      </c>
      <c r="C3135" s="21" t="s">
        <v>1950</v>
      </c>
      <c r="D3135" s="276"/>
      <c r="E3135" s="59">
        <v>8450000</v>
      </c>
      <c r="F3135" s="59">
        <v>8450000</v>
      </c>
      <c r="G3135" s="125">
        <f t="shared" si="70"/>
        <v>0</v>
      </c>
      <c r="H3135" s="241"/>
    </row>
    <row r="3136" spans="1:8" ht="16.5">
      <c r="A3136" s="3">
        <f>IF(E3136="","",COUNTA($E$2727:E3136))</f>
        <v>358</v>
      </c>
      <c r="B3136" s="40" t="s">
        <v>878</v>
      </c>
      <c r="C3136" s="21" t="s">
        <v>1950</v>
      </c>
      <c r="D3136" s="276"/>
      <c r="E3136" s="59">
        <v>10600000</v>
      </c>
      <c r="F3136" s="59">
        <v>10600000</v>
      </c>
      <c r="G3136" s="125">
        <f t="shared" si="70"/>
        <v>0</v>
      </c>
      <c r="H3136" s="241"/>
    </row>
    <row r="3137" spans="1:8" ht="16.5">
      <c r="A3137" s="3">
        <f>IF(E3137="","",COUNTA($E$2727:E3137))</f>
        <v>359</v>
      </c>
      <c r="B3137" s="40" t="s">
        <v>879</v>
      </c>
      <c r="C3137" s="21" t="s">
        <v>1950</v>
      </c>
      <c r="D3137" s="276"/>
      <c r="E3137" s="59">
        <v>2100000</v>
      </c>
      <c r="F3137" s="59">
        <v>2100000</v>
      </c>
      <c r="G3137" s="125">
        <f t="shared" si="70"/>
        <v>0</v>
      </c>
      <c r="H3137" s="241"/>
    </row>
    <row r="3138" spans="1:8" ht="16.5">
      <c r="A3138" s="3">
        <f>IF(E3138="","",COUNTA($E$2727:E3138))</f>
        <v>360</v>
      </c>
      <c r="B3138" s="40" t="s">
        <v>880</v>
      </c>
      <c r="C3138" s="21" t="s">
        <v>1950</v>
      </c>
      <c r="D3138" s="276"/>
      <c r="E3138" s="59">
        <v>2800000</v>
      </c>
      <c r="F3138" s="59">
        <v>2800000</v>
      </c>
      <c r="G3138" s="125">
        <f t="shared" si="70"/>
        <v>0</v>
      </c>
      <c r="H3138" s="241"/>
    </row>
    <row r="3139" spans="1:8" ht="16.5">
      <c r="A3139" s="3">
        <f>IF(E3139="","",COUNTA($E$2727:E3139))</f>
        <v>361</v>
      </c>
      <c r="B3139" s="40" t="s">
        <v>881</v>
      </c>
      <c r="C3139" s="21" t="s">
        <v>1950</v>
      </c>
      <c r="D3139" s="276"/>
      <c r="E3139" s="59">
        <v>2600000</v>
      </c>
      <c r="F3139" s="59">
        <v>2600000</v>
      </c>
      <c r="G3139" s="125">
        <f t="shared" si="70"/>
        <v>0</v>
      </c>
      <c r="H3139" s="241"/>
    </row>
    <row r="3140" spans="1:8" ht="16.5">
      <c r="A3140" s="3">
        <f>IF(E3140="","",COUNTA($E$2727:E3140))</f>
        <v>362</v>
      </c>
      <c r="B3140" s="40" t="s">
        <v>882</v>
      </c>
      <c r="C3140" s="21" t="s">
        <v>1950</v>
      </c>
      <c r="D3140" s="276"/>
      <c r="E3140" s="59">
        <v>2300000</v>
      </c>
      <c r="F3140" s="59">
        <v>2300000</v>
      </c>
      <c r="G3140" s="125">
        <f t="shared" si="70"/>
        <v>0</v>
      </c>
      <c r="H3140" s="241"/>
    </row>
    <row r="3141" spans="1:8" ht="16.5">
      <c r="A3141" s="3">
        <f>IF(E3141="","",COUNTA($E$2727:E3141))</f>
        <v>363</v>
      </c>
      <c r="B3141" s="40" t="s">
        <v>883</v>
      </c>
      <c r="C3141" s="21" t="s">
        <v>1950</v>
      </c>
      <c r="D3141" s="276"/>
      <c r="E3141" s="59">
        <v>1200000</v>
      </c>
      <c r="F3141" s="59">
        <v>1200000</v>
      </c>
      <c r="G3141" s="125">
        <f t="shared" si="70"/>
        <v>0</v>
      </c>
      <c r="H3141" s="241"/>
    </row>
    <row r="3142" spans="1:8" ht="16.5">
      <c r="A3142" s="3">
        <f>IF(E3142="","",COUNTA($E$2727:E3142))</f>
        <v>364</v>
      </c>
      <c r="B3142" s="40" t="s">
        <v>884</v>
      </c>
      <c r="C3142" s="21" t="s">
        <v>1950</v>
      </c>
      <c r="D3142" s="276"/>
      <c r="E3142" s="59">
        <v>2100000</v>
      </c>
      <c r="F3142" s="59">
        <v>2100000</v>
      </c>
      <c r="G3142" s="125">
        <f t="shared" si="70"/>
        <v>0</v>
      </c>
      <c r="H3142" s="241"/>
    </row>
    <row r="3143" spans="1:8" ht="33">
      <c r="A3143" s="3">
        <f>IF(E3143="","",COUNTA($E$2727:E3143))</f>
        <v>365</v>
      </c>
      <c r="B3143" s="40" t="s">
        <v>885</v>
      </c>
      <c r="C3143" s="21" t="s">
        <v>1950</v>
      </c>
      <c r="D3143" s="276"/>
      <c r="E3143" s="59">
        <v>1090000</v>
      </c>
      <c r="F3143" s="59">
        <v>1090000</v>
      </c>
      <c r="G3143" s="125">
        <f t="shared" si="70"/>
        <v>0</v>
      </c>
      <c r="H3143" s="241"/>
    </row>
    <row r="3144" spans="1:8" ht="16.5">
      <c r="A3144" s="3">
        <f>IF(E3144="","",COUNTA($E$2727:E3144))</f>
        <v>366</v>
      </c>
      <c r="B3144" s="40" t="s">
        <v>886</v>
      </c>
      <c r="C3144" s="21" t="s">
        <v>1950</v>
      </c>
      <c r="D3144" s="276"/>
      <c r="E3144" s="59">
        <v>1700000</v>
      </c>
      <c r="F3144" s="59">
        <v>1700000</v>
      </c>
      <c r="G3144" s="125">
        <f t="shared" si="70"/>
        <v>0</v>
      </c>
      <c r="H3144" s="241"/>
    </row>
    <row r="3145" spans="1:8" ht="16.5">
      <c r="A3145" s="3">
        <f>IF(E3145="","",COUNTA($E$2727:E3145))</f>
        <v>367</v>
      </c>
      <c r="B3145" s="40" t="s">
        <v>887</v>
      </c>
      <c r="C3145" s="21" t="s">
        <v>2078</v>
      </c>
      <c r="D3145" s="247" t="s">
        <v>903</v>
      </c>
      <c r="E3145" s="59">
        <v>6100000</v>
      </c>
      <c r="F3145" s="59">
        <v>6100000</v>
      </c>
      <c r="G3145" s="125">
        <f t="shared" si="70"/>
        <v>0</v>
      </c>
      <c r="H3145" s="241"/>
    </row>
    <row r="3146" spans="1:8" ht="16.5">
      <c r="A3146" s="3">
        <f>IF(E3146="","",COUNTA($E$2727:E3146))</f>
        <v>368</v>
      </c>
      <c r="B3146" s="40" t="s">
        <v>888</v>
      </c>
      <c r="C3146" s="21" t="s">
        <v>1950</v>
      </c>
      <c r="D3146" s="247"/>
      <c r="E3146" s="59">
        <v>6200000</v>
      </c>
      <c r="F3146" s="59">
        <v>6200000</v>
      </c>
      <c r="G3146" s="125">
        <f t="shared" si="70"/>
        <v>0</v>
      </c>
      <c r="H3146" s="241"/>
    </row>
    <row r="3147" spans="1:8" ht="16.5">
      <c r="A3147" s="3">
        <f>IF(E3147="","",COUNTA($E$2727:E3147))</f>
        <v>369</v>
      </c>
      <c r="B3147" s="40" t="s">
        <v>889</v>
      </c>
      <c r="C3147" s="21" t="s">
        <v>1950</v>
      </c>
      <c r="D3147" s="247"/>
      <c r="E3147" s="59">
        <v>10100000</v>
      </c>
      <c r="F3147" s="59">
        <v>10100000</v>
      </c>
      <c r="G3147" s="125">
        <f t="shared" si="70"/>
        <v>0</v>
      </c>
      <c r="H3147" s="241"/>
    </row>
    <row r="3148" spans="1:8" ht="16.5">
      <c r="A3148" s="3">
        <f>IF(E3148="","",COUNTA($E$2727:E3148))</f>
        <v>370</v>
      </c>
      <c r="B3148" s="40" t="s">
        <v>890</v>
      </c>
      <c r="C3148" s="21" t="s">
        <v>1950</v>
      </c>
      <c r="D3148" s="247"/>
      <c r="E3148" s="59">
        <v>5450000</v>
      </c>
      <c r="F3148" s="59">
        <v>5450000</v>
      </c>
      <c r="G3148" s="125">
        <f t="shared" si="70"/>
        <v>0</v>
      </c>
      <c r="H3148" s="241"/>
    </row>
    <row r="3149" spans="1:8" ht="16.5">
      <c r="A3149" s="3">
        <f>IF(E3149="","",COUNTA($E$2727:E3149))</f>
        <v>371</v>
      </c>
      <c r="B3149" s="40" t="s">
        <v>891</v>
      </c>
      <c r="C3149" s="21" t="s">
        <v>1950</v>
      </c>
      <c r="D3149" s="247"/>
      <c r="E3149" s="59">
        <v>5750000</v>
      </c>
      <c r="F3149" s="59">
        <v>5750000</v>
      </c>
      <c r="G3149" s="125">
        <f t="shared" si="70"/>
        <v>0</v>
      </c>
      <c r="H3149" s="241"/>
    </row>
    <row r="3150" spans="1:8" ht="16.5">
      <c r="A3150" s="3">
        <f>IF(E3150="","",COUNTA($E$2727:E3150))</f>
        <v>372</v>
      </c>
      <c r="B3150" s="40" t="s">
        <v>892</v>
      </c>
      <c r="C3150" s="21" t="s">
        <v>1950</v>
      </c>
      <c r="D3150" s="247"/>
      <c r="E3150" s="59">
        <v>4800000</v>
      </c>
      <c r="F3150" s="59">
        <v>4800000</v>
      </c>
      <c r="G3150" s="125">
        <f t="shared" si="70"/>
        <v>0</v>
      </c>
      <c r="H3150" s="241"/>
    </row>
    <row r="3151" spans="1:8" ht="16.5">
      <c r="A3151" s="3">
        <f>IF(E3151="","",COUNTA($E$2727:E3151))</f>
        <v>373</v>
      </c>
      <c r="B3151" s="40" t="s">
        <v>893</v>
      </c>
      <c r="C3151" s="21" t="s">
        <v>1950</v>
      </c>
      <c r="D3151" s="247"/>
      <c r="E3151" s="59">
        <v>2500000</v>
      </c>
      <c r="F3151" s="59">
        <v>2500000</v>
      </c>
      <c r="G3151" s="125">
        <f t="shared" si="70"/>
        <v>0</v>
      </c>
      <c r="H3151" s="241"/>
    </row>
    <row r="3152" spans="1:8" ht="16.5">
      <c r="A3152" s="3">
        <f>IF(E3152="","",COUNTA($E$2727:E3152))</f>
        <v>374</v>
      </c>
      <c r="B3152" s="40" t="s">
        <v>894</v>
      </c>
      <c r="C3152" s="21" t="s">
        <v>1950</v>
      </c>
      <c r="D3152" s="247"/>
      <c r="E3152" s="59">
        <v>2100000</v>
      </c>
      <c r="F3152" s="59">
        <v>2100000</v>
      </c>
      <c r="G3152" s="125">
        <f t="shared" si="70"/>
        <v>0</v>
      </c>
      <c r="H3152" s="241"/>
    </row>
    <row r="3153" spans="1:8" ht="16.5">
      <c r="A3153" s="3">
        <f>IF(E3153="","",COUNTA($E$2727:E3153))</f>
        <v>375</v>
      </c>
      <c r="B3153" s="40" t="s">
        <v>895</v>
      </c>
      <c r="C3153" s="21" t="s">
        <v>1950</v>
      </c>
      <c r="D3153" s="247"/>
      <c r="E3153" s="59">
        <v>2500000</v>
      </c>
      <c r="F3153" s="59">
        <v>2500000</v>
      </c>
      <c r="G3153" s="125">
        <f t="shared" si="70"/>
        <v>0</v>
      </c>
      <c r="H3153" s="241"/>
    </row>
    <row r="3154" spans="1:8" ht="16.5">
      <c r="A3154" s="3">
        <f>IF(E3154="","",COUNTA($E$2727:E3154))</f>
        <v>376</v>
      </c>
      <c r="B3154" s="40" t="s">
        <v>896</v>
      </c>
      <c r="C3154" s="21" t="s">
        <v>1950</v>
      </c>
      <c r="D3154" s="247"/>
      <c r="E3154" s="59">
        <v>2800000</v>
      </c>
      <c r="F3154" s="59">
        <v>2800000</v>
      </c>
      <c r="G3154" s="125">
        <f t="shared" si="70"/>
        <v>0</v>
      </c>
      <c r="H3154" s="241"/>
    </row>
    <row r="3155" spans="1:8" ht="16.5">
      <c r="A3155" s="3">
        <f>IF(E3155="","",COUNTA($E$2727:E3155))</f>
        <v>377</v>
      </c>
      <c r="B3155" s="40" t="s">
        <v>897</v>
      </c>
      <c r="C3155" s="21" t="s">
        <v>1950</v>
      </c>
      <c r="D3155" s="247"/>
      <c r="E3155" s="59">
        <v>3900000</v>
      </c>
      <c r="F3155" s="59">
        <v>3900000</v>
      </c>
      <c r="G3155" s="125">
        <f t="shared" si="70"/>
        <v>0</v>
      </c>
      <c r="H3155" s="241"/>
    </row>
    <row r="3156" spans="1:8" ht="16.5">
      <c r="A3156" s="3">
        <f>IF(E3156="","",COUNTA($E$2727:E3156))</f>
        <v>378</v>
      </c>
      <c r="B3156" s="40" t="s">
        <v>898</v>
      </c>
      <c r="C3156" s="21" t="s">
        <v>1950</v>
      </c>
      <c r="D3156" s="247"/>
      <c r="E3156" s="59">
        <v>4200000</v>
      </c>
      <c r="F3156" s="59">
        <v>4200000</v>
      </c>
      <c r="G3156" s="125">
        <f t="shared" si="70"/>
        <v>0</v>
      </c>
      <c r="H3156" s="242"/>
    </row>
    <row r="3157" spans="1:8" ht="34.5">
      <c r="A3157" s="3">
        <f>IF(E3157="","",COUNTA($E$2727:E3157))</f>
      </c>
      <c r="B3157" s="39" t="s">
        <v>2186</v>
      </c>
      <c r="D3157" s="57"/>
      <c r="E3157" s="59"/>
      <c r="F3157" s="59"/>
      <c r="G3157" s="125"/>
      <c r="H3157" s="240" t="s">
        <v>2270</v>
      </c>
    </row>
    <row r="3158" spans="1:8" ht="49.5">
      <c r="A3158" s="3">
        <f>IF(E3158="","",COUNTA($E$2727:E3158))</f>
        <v>379</v>
      </c>
      <c r="B3158" s="40" t="s">
        <v>2187</v>
      </c>
      <c r="C3158" s="21" t="s">
        <v>2188</v>
      </c>
      <c r="D3158" s="57" t="s">
        <v>2189</v>
      </c>
      <c r="E3158" s="59">
        <f>3231090/1.1</f>
        <v>2937354.5454545454</v>
      </c>
      <c r="F3158" s="59">
        <f>3231090/1.1</f>
        <v>2937354.5454545454</v>
      </c>
      <c r="G3158" s="125">
        <f t="shared" si="70"/>
        <v>0</v>
      </c>
      <c r="H3158" s="241"/>
    </row>
    <row r="3159" spans="1:8" ht="66">
      <c r="A3159" s="3">
        <f>IF(E3159="","",COUNTA($E$2727:E3159))</f>
        <v>380</v>
      </c>
      <c r="B3159" s="40" t="s">
        <v>2187</v>
      </c>
      <c r="C3159" s="21" t="s">
        <v>2188</v>
      </c>
      <c r="D3159" s="57" t="s">
        <v>2190</v>
      </c>
      <c r="E3159" s="59">
        <f>3585632/1.1</f>
        <v>3259665.454545454</v>
      </c>
      <c r="F3159" s="59">
        <f>3585632/1.1</f>
        <v>3259665.454545454</v>
      </c>
      <c r="G3159" s="125">
        <f t="shared" si="70"/>
        <v>0</v>
      </c>
      <c r="H3159" s="241"/>
    </row>
    <row r="3160" spans="1:8" ht="49.5">
      <c r="A3160" s="3">
        <f>IF(E3160="","",COUNTA($E$2727:E3160))</f>
        <v>381</v>
      </c>
      <c r="B3160" s="40" t="s">
        <v>2187</v>
      </c>
      <c r="C3160" s="21" t="s">
        <v>2188</v>
      </c>
      <c r="D3160" s="57" t="s">
        <v>2191</v>
      </c>
      <c r="E3160" s="59">
        <f>3962240/1.1</f>
        <v>3602036.3636363633</v>
      </c>
      <c r="F3160" s="59">
        <f>3962240/1.1</f>
        <v>3602036.3636363633</v>
      </c>
      <c r="G3160" s="125">
        <f t="shared" si="70"/>
        <v>0</v>
      </c>
      <c r="H3160" s="241"/>
    </row>
    <row r="3161" spans="1:8" ht="66">
      <c r="A3161" s="3">
        <f>IF(E3161="","",COUNTA($E$2727:E3161))</f>
        <v>382</v>
      </c>
      <c r="B3161" s="40" t="s">
        <v>2187</v>
      </c>
      <c r="C3161" s="21" t="s">
        <v>2188</v>
      </c>
      <c r="D3161" s="57" t="s">
        <v>2192</v>
      </c>
      <c r="E3161" s="59">
        <f>4318840/1.1</f>
        <v>3926218.1818181816</v>
      </c>
      <c r="F3161" s="59">
        <f>4318840/1.1</f>
        <v>3926218.1818181816</v>
      </c>
      <c r="G3161" s="125">
        <f t="shared" si="70"/>
        <v>0</v>
      </c>
      <c r="H3161" s="241"/>
    </row>
    <row r="3162" spans="1:8" ht="66">
      <c r="A3162" s="3">
        <f>IF(E3162="","",COUNTA($E$2727:E3162))</f>
        <v>383</v>
      </c>
      <c r="B3162" s="40" t="s">
        <v>2187</v>
      </c>
      <c r="C3162" s="21" t="s">
        <v>2188</v>
      </c>
      <c r="D3162" s="57" t="s">
        <v>2193</v>
      </c>
      <c r="E3162" s="59">
        <f>4875440/1.1</f>
        <v>4432218.181818182</v>
      </c>
      <c r="F3162" s="59">
        <f>4875440/1.1</f>
        <v>4432218.181818182</v>
      </c>
      <c r="G3162" s="125">
        <f t="shared" si="70"/>
        <v>0</v>
      </c>
      <c r="H3162" s="241"/>
    </row>
    <row r="3163" spans="1:8" ht="49.5">
      <c r="A3163" s="3">
        <f>IF(E3163="","",COUNTA($E$2727:E3163))</f>
        <v>384</v>
      </c>
      <c r="B3163" s="40" t="s">
        <v>2187</v>
      </c>
      <c r="C3163" s="21" t="s">
        <v>2188</v>
      </c>
      <c r="D3163" s="57" t="s">
        <v>2194</v>
      </c>
      <c r="E3163" s="59">
        <f>6322600/1.1</f>
        <v>5747818.181818182</v>
      </c>
      <c r="F3163" s="59">
        <f>6322600/1.1</f>
        <v>5747818.181818182</v>
      </c>
      <c r="G3163" s="125">
        <f t="shared" si="70"/>
        <v>0</v>
      </c>
      <c r="H3163" s="241"/>
    </row>
    <row r="3164" spans="1:8" ht="49.5">
      <c r="A3164" s="3">
        <f>IF(E3164="","",COUNTA($E$2727:E3164))</f>
        <v>385</v>
      </c>
      <c r="B3164" s="40" t="s">
        <v>2187</v>
      </c>
      <c r="C3164" s="21" t="s">
        <v>2188</v>
      </c>
      <c r="D3164" s="57" t="s">
        <v>2195</v>
      </c>
      <c r="E3164" s="59">
        <f>6879200/1.1</f>
        <v>6253818.181818182</v>
      </c>
      <c r="F3164" s="59">
        <f>6879200/1.1</f>
        <v>6253818.181818182</v>
      </c>
      <c r="G3164" s="125">
        <f t="shared" si="70"/>
        <v>0</v>
      </c>
      <c r="H3164" s="241"/>
    </row>
    <row r="3165" spans="1:8" ht="34.5">
      <c r="A3165" s="3">
        <f>IF(E3165="","",COUNTA($E$2727:E3165))</f>
      </c>
      <c r="B3165" s="39" t="s">
        <v>2196</v>
      </c>
      <c r="D3165" s="57"/>
      <c r="E3165" s="59"/>
      <c r="F3165" s="59"/>
      <c r="G3165" s="125"/>
      <c r="H3165" s="241"/>
    </row>
    <row r="3166" spans="1:8" ht="49.5">
      <c r="A3166" s="3">
        <f>IF(E3166="","",COUNTA($E$2727:E3166))</f>
        <v>386</v>
      </c>
      <c r="B3166" s="40" t="s">
        <v>2197</v>
      </c>
      <c r="C3166" s="21" t="s">
        <v>2188</v>
      </c>
      <c r="D3166" s="57" t="s">
        <v>2198</v>
      </c>
      <c r="E3166" s="59">
        <f>2526400/1.1</f>
        <v>2296727.2727272725</v>
      </c>
      <c r="F3166" s="59">
        <f>2526400/1.1</f>
        <v>2296727.2727272725</v>
      </c>
      <c r="G3166" s="125">
        <f t="shared" si="70"/>
        <v>0</v>
      </c>
      <c r="H3166" s="241"/>
    </row>
    <row r="3167" spans="1:8" ht="49.5">
      <c r="A3167" s="3">
        <f>IF(E3167="","",COUNTA($E$2727:E3167))</f>
        <v>387</v>
      </c>
      <c r="B3167" s="40" t="s">
        <v>2197</v>
      </c>
      <c r="C3167" s="21" t="s">
        <v>2188</v>
      </c>
      <c r="D3167" s="57" t="s">
        <v>2200</v>
      </c>
      <c r="E3167" s="59">
        <f>3305640/1.1</f>
        <v>3005127.2727272725</v>
      </c>
      <c r="F3167" s="59">
        <f>3305640/1.1</f>
        <v>3005127.2727272725</v>
      </c>
      <c r="G3167" s="125">
        <f t="shared" si="70"/>
        <v>0</v>
      </c>
      <c r="H3167" s="241"/>
    </row>
    <row r="3168" spans="1:8" ht="66">
      <c r="A3168" s="3">
        <f>IF(E3168="","",COUNTA($E$2727:E3168))</f>
        <v>388</v>
      </c>
      <c r="B3168" s="40" t="s">
        <v>2197</v>
      </c>
      <c r="C3168" s="21" t="s">
        <v>2188</v>
      </c>
      <c r="D3168" s="57" t="s">
        <v>2199</v>
      </c>
      <c r="E3168" s="59">
        <f>3984880/1.1</f>
        <v>3622618.1818181816</v>
      </c>
      <c r="F3168" s="59">
        <f>3984880/1.1</f>
        <v>3622618.1818181816</v>
      </c>
      <c r="G3168" s="125">
        <f t="shared" si="70"/>
        <v>0</v>
      </c>
      <c r="H3168" s="241"/>
    </row>
    <row r="3169" spans="1:8" ht="49.5">
      <c r="A3169" s="3">
        <f>IF(E3169="","",COUNTA($E$2727:E3169))</f>
        <v>389</v>
      </c>
      <c r="B3169" s="40" t="s">
        <v>2197</v>
      </c>
      <c r="C3169" s="21" t="s">
        <v>2188</v>
      </c>
      <c r="D3169" s="57" t="s">
        <v>2201</v>
      </c>
      <c r="E3169" s="59">
        <f>4708460/1.1</f>
        <v>4280418.181818182</v>
      </c>
      <c r="F3169" s="59">
        <f>4708460/1.1</f>
        <v>4280418.181818182</v>
      </c>
      <c r="G3169" s="125">
        <f t="shared" si="70"/>
        <v>0</v>
      </c>
      <c r="H3169" s="241"/>
    </row>
    <row r="3170" spans="1:8" ht="49.5">
      <c r="A3170" s="3">
        <f>IF(E3170="","",COUNTA($E$2727:E3170))</f>
        <v>390</v>
      </c>
      <c r="B3170" s="40" t="s">
        <v>2197</v>
      </c>
      <c r="C3170" s="21" t="s">
        <v>2188</v>
      </c>
      <c r="D3170" s="57" t="s">
        <v>2202</v>
      </c>
      <c r="E3170" s="59">
        <f>6044300/1.1</f>
        <v>5494818.181818182</v>
      </c>
      <c r="F3170" s="59">
        <f>6044300/1.1</f>
        <v>5494818.181818182</v>
      </c>
      <c r="G3170" s="125">
        <f t="shared" si="70"/>
        <v>0</v>
      </c>
      <c r="H3170" s="241"/>
    </row>
    <row r="3171" spans="1:8" ht="49.5">
      <c r="A3171" s="3">
        <f>IF(E3171="","",COUNTA($E$2727:E3171))</f>
        <v>391</v>
      </c>
      <c r="B3171" s="40" t="s">
        <v>2197</v>
      </c>
      <c r="C3171" s="21" t="s">
        <v>2188</v>
      </c>
      <c r="D3171" s="57" t="s">
        <v>2203</v>
      </c>
      <c r="E3171" s="59">
        <f>6879200/1.1</f>
        <v>6253818.181818182</v>
      </c>
      <c r="F3171" s="59">
        <f>6879200/1.1</f>
        <v>6253818.181818182</v>
      </c>
      <c r="G3171" s="125">
        <f t="shared" si="70"/>
        <v>0</v>
      </c>
      <c r="H3171" s="241"/>
    </row>
    <row r="3172" spans="1:8" ht="49.5">
      <c r="A3172" s="3">
        <f>IF(E3172="","",COUNTA($E$2727:E3172))</f>
        <v>392</v>
      </c>
      <c r="B3172" s="40" t="s">
        <v>2197</v>
      </c>
      <c r="C3172" s="21" t="s">
        <v>2188</v>
      </c>
      <c r="D3172" s="57" t="s">
        <v>2204</v>
      </c>
      <c r="E3172" s="59">
        <f>7435800/1.1</f>
        <v>6759818.181818182</v>
      </c>
      <c r="F3172" s="59">
        <f>7435800/1.1</f>
        <v>6759818.181818182</v>
      </c>
      <c r="G3172" s="125">
        <f t="shared" si="70"/>
        <v>0</v>
      </c>
      <c r="H3172" s="241"/>
    </row>
    <row r="3173" spans="1:8" ht="17.25">
      <c r="A3173" s="3">
        <f>IF(E3173="","",COUNTA($E$2727:E3173))</f>
      </c>
      <c r="B3173" s="39" t="s">
        <v>2205</v>
      </c>
      <c r="D3173" s="57"/>
      <c r="E3173" s="59"/>
      <c r="F3173" s="59"/>
      <c r="G3173" s="125"/>
      <c r="H3173" s="241"/>
    </row>
    <row r="3174" spans="1:8" ht="16.5">
      <c r="A3174" s="3">
        <f>IF(E3174="","",COUNTA($E$2727:E3174))</f>
        <v>393</v>
      </c>
      <c r="B3174" s="40" t="s">
        <v>2206</v>
      </c>
      <c r="C3174" s="21" t="s">
        <v>2207</v>
      </c>
      <c r="D3174" s="57"/>
      <c r="E3174" s="59">
        <f>1702820/1.1</f>
        <v>1548018.1818181816</v>
      </c>
      <c r="F3174" s="59">
        <f>1702820/1.1</f>
        <v>1548018.1818181816</v>
      </c>
      <c r="G3174" s="125">
        <f t="shared" si="70"/>
        <v>0</v>
      </c>
      <c r="H3174" s="241"/>
    </row>
    <row r="3175" spans="1:8" ht="16.5">
      <c r="A3175" s="3">
        <f>IF(E3175="","",COUNTA($E$2727:E3175))</f>
        <v>394</v>
      </c>
      <c r="B3175" s="40" t="s">
        <v>2208</v>
      </c>
      <c r="C3175" s="21" t="s">
        <v>2207</v>
      </c>
      <c r="D3175" s="57"/>
      <c r="E3175" s="59">
        <f>1602632/1.1</f>
        <v>1456938.1818181816</v>
      </c>
      <c r="F3175" s="59">
        <f>1602632/1.1</f>
        <v>1456938.1818181816</v>
      </c>
      <c r="G3175" s="125">
        <f t="shared" si="70"/>
        <v>0</v>
      </c>
      <c r="H3175" s="241"/>
    </row>
    <row r="3176" spans="1:8" ht="16.5">
      <c r="A3176" s="3">
        <f>IF(E3176="","",COUNTA($E$2727:E3176))</f>
        <v>395</v>
      </c>
      <c r="B3176" s="40" t="s">
        <v>2209</v>
      </c>
      <c r="C3176" s="21" t="s">
        <v>2207</v>
      </c>
      <c r="D3176" s="57"/>
      <c r="E3176" s="59">
        <f>1825272/1.1</f>
        <v>1659338.1818181816</v>
      </c>
      <c r="F3176" s="59">
        <f>1825272/1.1</f>
        <v>1659338.1818181816</v>
      </c>
      <c r="G3176" s="125">
        <f t="shared" si="70"/>
        <v>0</v>
      </c>
      <c r="H3176" s="241"/>
    </row>
    <row r="3177" spans="1:8" ht="16.5">
      <c r="A3177" s="3">
        <f>IF(E3177="","",COUNTA($E$2727:E3177))</f>
        <v>396</v>
      </c>
      <c r="B3177" s="40" t="s">
        <v>2210</v>
      </c>
      <c r="C3177" s="21" t="s">
        <v>2207</v>
      </c>
      <c r="D3177" s="57"/>
      <c r="E3177" s="59">
        <f>1758480/1.1</f>
        <v>1598618.1818181816</v>
      </c>
      <c r="F3177" s="59">
        <f>1758480/1.1</f>
        <v>1598618.1818181816</v>
      </c>
      <c r="G3177" s="125">
        <f t="shared" si="70"/>
        <v>0</v>
      </c>
      <c r="H3177" s="241"/>
    </row>
    <row r="3178" spans="1:8" ht="16.5">
      <c r="A3178" s="3">
        <f>IF(E3178="","",COUNTA($E$2727:E3178))</f>
        <v>397</v>
      </c>
      <c r="B3178" s="40" t="s">
        <v>2211</v>
      </c>
      <c r="C3178" s="21" t="s">
        <v>2207</v>
      </c>
      <c r="D3178" s="57"/>
      <c r="E3178" s="59">
        <f>1713952/1.1</f>
        <v>1558138.1818181816</v>
      </c>
      <c r="F3178" s="59">
        <f>1713952/1.1</f>
        <v>1558138.1818181816</v>
      </c>
      <c r="G3178" s="125">
        <f t="shared" si="70"/>
        <v>0</v>
      </c>
      <c r="H3178" s="241"/>
    </row>
    <row r="3179" spans="1:8" ht="16.5">
      <c r="A3179" s="3">
        <f>IF(E3179="","",COUNTA($E$2727:E3179))</f>
        <v>398</v>
      </c>
      <c r="B3179" s="40" t="s">
        <v>2212</v>
      </c>
      <c r="C3179" s="21" t="s">
        <v>2207</v>
      </c>
      <c r="D3179" s="57"/>
      <c r="E3179" s="59">
        <f>1914328/1.1</f>
        <v>1740298.1818181816</v>
      </c>
      <c r="F3179" s="59">
        <f>1914328/1.1</f>
        <v>1740298.1818181816</v>
      </c>
      <c r="G3179" s="125">
        <f t="shared" si="70"/>
        <v>0</v>
      </c>
      <c r="H3179" s="241"/>
    </row>
    <row r="3180" spans="1:8" ht="16.5">
      <c r="A3180" s="3">
        <f>IF(E3180="","",COUNTA($E$2727:E3180))</f>
        <v>399</v>
      </c>
      <c r="B3180" s="40" t="s">
        <v>2213</v>
      </c>
      <c r="C3180" s="21" t="s">
        <v>2207</v>
      </c>
      <c r="D3180" s="57"/>
      <c r="E3180" s="59">
        <f>1819706/1.1</f>
        <v>1654278.1818181816</v>
      </c>
      <c r="F3180" s="59">
        <f>1819706/1.1</f>
        <v>1654278.1818181816</v>
      </c>
      <c r="G3180" s="125">
        <f t="shared" si="70"/>
        <v>0</v>
      </c>
      <c r="H3180" s="241"/>
    </row>
    <row r="3181" spans="1:8" ht="16.5">
      <c r="A3181" s="3">
        <f>IF(E3181="","",COUNTA($E$2727:E3181))</f>
        <v>400</v>
      </c>
      <c r="B3181" s="40" t="s">
        <v>2214</v>
      </c>
      <c r="C3181" s="21" t="s">
        <v>2207</v>
      </c>
      <c r="D3181" s="57"/>
      <c r="E3181" s="59">
        <f>1736216/1.1</f>
        <v>1578378.1818181816</v>
      </c>
      <c r="F3181" s="59">
        <f>1736216/1.1</f>
        <v>1578378.1818181816</v>
      </c>
      <c r="G3181" s="125">
        <f t="shared" si="70"/>
        <v>0</v>
      </c>
      <c r="H3181" s="241"/>
    </row>
    <row r="3182" spans="1:8" ht="16.5">
      <c r="A3182" s="3">
        <f>IF(E3182="","",COUNTA($E$2727:E3182))</f>
        <v>401</v>
      </c>
      <c r="B3182" s="40" t="s">
        <v>2215</v>
      </c>
      <c r="C3182" s="21" t="s">
        <v>2207</v>
      </c>
      <c r="D3182" s="57"/>
      <c r="E3182" s="59">
        <f>1758480/1.1</f>
        <v>1598618.1818181816</v>
      </c>
      <c r="F3182" s="59">
        <f>1758480/1.1</f>
        <v>1598618.1818181816</v>
      </c>
      <c r="G3182" s="125">
        <f t="shared" si="70"/>
        <v>0</v>
      </c>
      <c r="H3182" s="241"/>
    </row>
    <row r="3183" spans="1:8" ht="16.5">
      <c r="A3183" s="3">
        <f>IF(E3183="","",COUNTA($E$2727:E3183))</f>
        <v>402</v>
      </c>
      <c r="B3183" s="40" t="s">
        <v>2216</v>
      </c>
      <c r="C3183" s="21" t="s">
        <v>2207</v>
      </c>
      <c r="D3183" s="57"/>
      <c r="E3183" s="59">
        <f>2315080/1.1</f>
        <v>2104618.1818181816</v>
      </c>
      <c r="F3183" s="59">
        <f>2315080/1.1</f>
        <v>2104618.1818181816</v>
      </c>
      <c r="G3183" s="125">
        <f t="shared" si="70"/>
        <v>0</v>
      </c>
      <c r="H3183" s="241"/>
    </row>
    <row r="3184" spans="1:8" ht="16.5">
      <c r="A3184" s="3">
        <f>IF(E3184="","",COUNTA($E$2727:E3184))</f>
        <v>403</v>
      </c>
      <c r="B3184" s="40" t="s">
        <v>2217</v>
      </c>
      <c r="C3184" s="21" t="s">
        <v>2207</v>
      </c>
      <c r="D3184" s="57"/>
      <c r="E3184" s="59">
        <f>2259420/1.1</f>
        <v>2054018.1818181816</v>
      </c>
      <c r="F3184" s="59">
        <f>2259420/1.1</f>
        <v>2054018.1818181816</v>
      </c>
      <c r="G3184" s="125">
        <f t="shared" si="70"/>
        <v>0</v>
      </c>
      <c r="H3184" s="241"/>
    </row>
    <row r="3185" spans="1:8" ht="16.5">
      <c r="A3185" s="3">
        <f>IF(E3185="","",COUNTA($E$2727:E3185))</f>
        <v>404</v>
      </c>
      <c r="B3185" s="40" t="s">
        <v>2218</v>
      </c>
      <c r="C3185" s="21" t="s">
        <v>2207</v>
      </c>
      <c r="D3185" s="57"/>
      <c r="E3185" s="59">
        <f>2370740/1.1</f>
        <v>2155218.1818181816</v>
      </c>
      <c r="F3185" s="59">
        <f>2370740/1.1</f>
        <v>2155218.1818181816</v>
      </c>
      <c r="G3185" s="125">
        <f t="shared" si="70"/>
        <v>0</v>
      </c>
      <c r="H3185" s="241"/>
    </row>
    <row r="3186" spans="1:8" ht="16.5">
      <c r="A3186" s="3">
        <f>IF(E3186="","",COUNTA($E$2727:E3186))</f>
        <v>405</v>
      </c>
      <c r="B3186" s="40" t="s">
        <v>2219</v>
      </c>
      <c r="C3186" s="21" t="s">
        <v>2207</v>
      </c>
      <c r="D3186" s="57"/>
      <c r="E3186" s="59">
        <f>2181496/1.1</f>
        <v>1983178.1818181816</v>
      </c>
      <c r="F3186" s="59">
        <f>2181496/1.1</f>
        <v>1983178.1818181816</v>
      </c>
      <c r="G3186" s="125">
        <f t="shared" si="70"/>
        <v>0</v>
      </c>
      <c r="H3186" s="241"/>
    </row>
    <row r="3187" spans="1:8" ht="16.5">
      <c r="A3187" s="3">
        <f>IF(E3187="","",COUNTA($E$2727:E3187))</f>
        <v>406</v>
      </c>
      <c r="B3187" s="40" t="s">
        <v>2220</v>
      </c>
      <c r="C3187" s="21" t="s">
        <v>2207</v>
      </c>
      <c r="D3187" s="57"/>
      <c r="E3187" s="59">
        <f>1947724/1.1</f>
        <v>1770658.1818181816</v>
      </c>
      <c r="F3187" s="59">
        <f>1947724/1.1</f>
        <v>1770658.1818181816</v>
      </c>
      <c r="G3187" s="125">
        <f t="shared" si="70"/>
        <v>0</v>
      </c>
      <c r="H3187" s="241"/>
    </row>
    <row r="3188" spans="1:8" ht="16.5">
      <c r="A3188" s="3">
        <f>IF(E3188="","",COUNTA($E$2727:E3188))</f>
        <v>407</v>
      </c>
      <c r="B3188" s="40" t="s">
        <v>2221</v>
      </c>
      <c r="C3188" s="21" t="s">
        <v>2207</v>
      </c>
      <c r="D3188" s="57"/>
      <c r="E3188" s="59">
        <f>2203760/1.1</f>
        <v>2003418.1818181816</v>
      </c>
      <c r="F3188" s="59">
        <f>2203760/1.1</f>
        <v>2003418.1818181816</v>
      </c>
      <c r="G3188" s="125">
        <f t="shared" si="70"/>
        <v>0</v>
      </c>
      <c r="H3188" s="241"/>
    </row>
    <row r="3189" spans="1:8" ht="16.5">
      <c r="A3189" s="3">
        <f>IF(E3189="","",COUNTA($E$2727:E3189))</f>
        <v>408</v>
      </c>
      <c r="B3189" s="40" t="s">
        <v>2222</v>
      </c>
      <c r="C3189" s="21" t="s">
        <v>2207</v>
      </c>
      <c r="D3189" s="57"/>
      <c r="E3189" s="59">
        <f>2181496/1.1</f>
        <v>1983178.1818181816</v>
      </c>
      <c r="F3189" s="59">
        <f>2181496/1.1</f>
        <v>1983178.1818181816</v>
      </c>
      <c r="G3189" s="125">
        <f t="shared" si="70"/>
        <v>0</v>
      </c>
      <c r="H3189" s="241"/>
    </row>
    <row r="3190" spans="1:8" ht="16.5">
      <c r="A3190" s="3">
        <f>IF(E3190="","",COUNTA($E$2727:E3190))</f>
        <v>409</v>
      </c>
      <c r="B3190" s="40" t="s">
        <v>2223</v>
      </c>
      <c r="C3190" s="21" t="s">
        <v>2207</v>
      </c>
      <c r="D3190" s="57"/>
      <c r="E3190" s="59">
        <f>2181496/1.1</f>
        <v>1983178.1818181816</v>
      </c>
      <c r="F3190" s="59">
        <f>2181496/1.1</f>
        <v>1983178.1818181816</v>
      </c>
      <c r="G3190" s="125">
        <f aca="true" t="shared" si="71" ref="G3190:G3246">(E3190-F3190)/E3190</f>
        <v>0</v>
      </c>
      <c r="H3190" s="241"/>
    </row>
    <row r="3191" spans="1:8" ht="16.5">
      <c r="A3191" s="3">
        <f>IF(E3191="","",COUNTA($E$2727:E3191))</f>
        <v>410</v>
      </c>
      <c r="B3191" s="40" t="s">
        <v>2224</v>
      </c>
      <c r="C3191" s="21" t="s">
        <v>2207</v>
      </c>
      <c r="D3191" s="57"/>
      <c r="E3191" s="59">
        <f>2270552/1.1</f>
        <v>2064138.1818181816</v>
      </c>
      <c r="F3191" s="59">
        <f>2270552/1.1</f>
        <v>2064138.1818181816</v>
      </c>
      <c r="G3191" s="125">
        <f t="shared" si="71"/>
        <v>0</v>
      </c>
      <c r="H3191" s="241"/>
    </row>
    <row r="3192" spans="1:8" ht="16.5">
      <c r="A3192" s="3">
        <f>IF(E3192="","",COUNTA($E$2727:E3192))</f>
        <v>411</v>
      </c>
      <c r="B3192" s="40" t="s">
        <v>2225</v>
      </c>
      <c r="C3192" s="21" t="s">
        <v>2207</v>
      </c>
      <c r="D3192" s="57"/>
      <c r="E3192" s="59">
        <f>2192628/1.1</f>
        <v>1993298.1818181816</v>
      </c>
      <c r="F3192" s="59">
        <f>2192628/1.1</f>
        <v>1993298.1818181816</v>
      </c>
      <c r="G3192" s="125">
        <f t="shared" si="71"/>
        <v>0</v>
      </c>
      <c r="H3192" s="241"/>
    </row>
    <row r="3193" spans="1:8" ht="16.5">
      <c r="A3193" s="3">
        <f>IF(E3193="","",COUNTA($E$2727:E3193))</f>
        <v>412</v>
      </c>
      <c r="B3193" s="40" t="s">
        <v>2226</v>
      </c>
      <c r="C3193" s="21" t="s">
        <v>2207</v>
      </c>
      <c r="D3193" s="57"/>
      <c r="E3193" s="59">
        <f>2315080/1.1</f>
        <v>2104618.1818181816</v>
      </c>
      <c r="F3193" s="59">
        <f>2315080/1.1</f>
        <v>2104618.1818181816</v>
      </c>
      <c r="G3193" s="125">
        <f t="shared" si="71"/>
        <v>0</v>
      </c>
      <c r="H3193" s="241"/>
    </row>
    <row r="3194" spans="1:8" ht="16.5">
      <c r="A3194" s="3">
        <f>IF(E3194="","",COUNTA($E$2727:E3194))</f>
        <v>413</v>
      </c>
      <c r="B3194" s="40" t="s">
        <v>2227</v>
      </c>
      <c r="C3194" s="21" t="s">
        <v>2207</v>
      </c>
      <c r="D3194" s="57"/>
      <c r="E3194" s="59">
        <f>2259420/1.1</f>
        <v>2054018.1818181816</v>
      </c>
      <c r="F3194" s="59">
        <f>2259420/1.1</f>
        <v>2054018.1818181816</v>
      </c>
      <c r="G3194" s="125">
        <f t="shared" si="71"/>
        <v>0</v>
      </c>
      <c r="H3194" s="241"/>
    </row>
    <row r="3195" spans="1:8" ht="16.5">
      <c r="A3195" s="3">
        <f>IF(E3195="","",COUNTA($E$2727:E3195))</f>
        <v>414</v>
      </c>
      <c r="B3195" s="40" t="s">
        <v>2228</v>
      </c>
      <c r="C3195" s="21" t="s">
        <v>2664</v>
      </c>
      <c r="D3195" s="57"/>
      <c r="E3195" s="59">
        <f>3161112/1.1</f>
        <v>2873738.1818181816</v>
      </c>
      <c r="F3195" s="59">
        <f>3161112/1.1</f>
        <v>2873738.1818181816</v>
      </c>
      <c r="G3195" s="125">
        <f t="shared" si="71"/>
        <v>0</v>
      </c>
      <c r="H3195" s="241"/>
    </row>
    <row r="3196" spans="1:8" ht="16.5">
      <c r="A3196" s="3">
        <f>IF(E3196="","",COUNTA($E$2727:E3196))</f>
        <v>415</v>
      </c>
      <c r="B3196" s="40" t="s">
        <v>2229</v>
      </c>
      <c r="C3196" s="21" t="s">
        <v>2664</v>
      </c>
      <c r="D3196" s="57"/>
      <c r="E3196" s="59">
        <f>3316960/1.1</f>
        <v>3015418.1818181816</v>
      </c>
      <c r="F3196" s="59">
        <f>3316960/1.1</f>
        <v>3015418.1818181816</v>
      </c>
      <c r="G3196" s="125">
        <f t="shared" si="71"/>
        <v>0</v>
      </c>
      <c r="H3196" s="241"/>
    </row>
    <row r="3197" spans="1:8" ht="16.5">
      <c r="A3197" s="3">
        <f>IF(E3197="","",COUNTA($E$2727:E3197))</f>
        <v>416</v>
      </c>
      <c r="B3197" s="40" t="s">
        <v>2230</v>
      </c>
      <c r="C3197" s="21" t="s">
        <v>2664</v>
      </c>
      <c r="D3197" s="57"/>
      <c r="E3197" s="59">
        <f>823392/1.1</f>
        <v>748538.1818181818</v>
      </c>
      <c r="F3197" s="59">
        <f>823392/1.1</f>
        <v>748538.1818181818</v>
      </c>
      <c r="G3197" s="125">
        <f t="shared" si="71"/>
        <v>0</v>
      </c>
      <c r="H3197" s="241"/>
    </row>
    <row r="3198" spans="1:8" ht="17.25">
      <c r="A3198" s="3">
        <f>IF(E3198="","",COUNTA($E$2727:E3198))</f>
      </c>
      <c r="B3198" s="39" t="s">
        <v>2231</v>
      </c>
      <c r="D3198" s="57"/>
      <c r="E3198" s="59"/>
      <c r="F3198" s="59"/>
      <c r="G3198" s="125"/>
      <c r="H3198" s="241"/>
    </row>
    <row r="3199" spans="1:8" ht="66">
      <c r="A3199" s="3">
        <f>IF(E3199="","",COUNTA($E$2727:E3199))</f>
        <v>417</v>
      </c>
      <c r="B3199" s="40" t="s">
        <v>2233</v>
      </c>
      <c r="C3199" s="21" t="s">
        <v>2232</v>
      </c>
      <c r="D3199" s="57" t="s">
        <v>2240</v>
      </c>
      <c r="E3199" s="59">
        <f>4265600/1.1</f>
        <v>3877818.1818181816</v>
      </c>
      <c r="F3199" s="59">
        <f>4265600/1.1</f>
        <v>3877818.1818181816</v>
      </c>
      <c r="G3199" s="125">
        <f t="shared" si="71"/>
        <v>0</v>
      </c>
      <c r="H3199" s="241"/>
    </row>
    <row r="3200" spans="1:8" ht="49.5">
      <c r="A3200" s="3">
        <f>IF(E3200="","",COUNTA($E$2727:E3200))</f>
        <v>418</v>
      </c>
      <c r="B3200" s="40" t="s">
        <v>2234</v>
      </c>
      <c r="C3200" s="21" t="s">
        <v>2232</v>
      </c>
      <c r="D3200" s="57" t="s">
        <v>2239</v>
      </c>
      <c r="E3200" s="59">
        <f>2987840/1.1</f>
        <v>2716218.1818181816</v>
      </c>
      <c r="F3200" s="59">
        <f>2987840/1.1</f>
        <v>2716218.1818181816</v>
      </c>
      <c r="G3200" s="125">
        <f t="shared" si="71"/>
        <v>0</v>
      </c>
      <c r="H3200" s="241"/>
    </row>
    <row r="3201" spans="1:8" ht="49.5">
      <c r="A3201" s="3">
        <f>IF(E3201="","",COUNTA($E$2727:E3201))</f>
        <v>419</v>
      </c>
      <c r="B3201" s="40" t="s">
        <v>2235</v>
      </c>
      <c r="C3201" s="21" t="s">
        <v>2232</v>
      </c>
      <c r="D3201" s="57" t="s">
        <v>2239</v>
      </c>
      <c r="E3201" s="59">
        <f>3394400/1.1</f>
        <v>3085818.1818181816</v>
      </c>
      <c r="F3201" s="59">
        <f>3394400/1.1</f>
        <v>3085818.1818181816</v>
      </c>
      <c r="G3201" s="125">
        <f t="shared" si="71"/>
        <v>0</v>
      </c>
      <c r="H3201" s="241"/>
    </row>
    <row r="3202" spans="1:8" ht="49.5">
      <c r="A3202" s="3">
        <f>IF(E3202="","",COUNTA($E$2727:E3202))</f>
        <v>420</v>
      </c>
      <c r="B3202" s="40" t="s">
        <v>2236</v>
      </c>
      <c r="C3202" s="21" t="s">
        <v>2232</v>
      </c>
      <c r="D3202" s="57" t="s">
        <v>2241</v>
      </c>
      <c r="E3202" s="59">
        <f>3278240/1.1</f>
        <v>2980218.1818181816</v>
      </c>
      <c r="F3202" s="59">
        <f>3278240/1.1</f>
        <v>2980218.1818181816</v>
      </c>
      <c r="G3202" s="125">
        <f t="shared" si="71"/>
        <v>0</v>
      </c>
      <c r="H3202" s="241"/>
    </row>
    <row r="3203" spans="1:8" ht="49.5">
      <c r="A3203" s="3">
        <f>IF(E3203="","",COUNTA($E$2727:E3203))</f>
        <v>421</v>
      </c>
      <c r="B3203" s="40" t="s">
        <v>2237</v>
      </c>
      <c r="C3203" s="21" t="s">
        <v>2232</v>
      </c>
      <c r="D3203" s="57" t="s">
        <v>2241</v>
      </c>
      <c r="E3203" s="59">
        <f>3278240/1.1</f>
        <v>2980218.1818181816</v>
      </c>
      <c r="F3203" s="59">
        <f>3278240/1.1</f>
        <v>2980218.1818181816</v>
      </c>
      <c r="G3203" s="125">
        <f t="shared" si="71"/>
        <v>0</v>
      </c>
      <c r="H3203" s="241"/>
    </row>
    <row r="3204" spans="1:8" ht="49.5">
      <c r="A3204" s="3">
        <f>IF(E3204="","",COUNTA($E$2727:E3204))</f>
        <v>422</v>
      </c>
      <c r="B3204" s="40" t="s">
        <v>2238</v>
      </c>
      <c r="C3204" s="21" t="s">
        <v>2232</v>
      </c>
      <c r="D3204" s="57" t="s">
        <v>2241</v>
      </c>
      <c r="E3204" s="59">
        <f>3104000/1.1</f>
        <v>2821818.1818181816</v>
      </c>
      <c r="F3204" s="59">
        <f>3104000/1.1</f>
        <v>2821818.1818181816</v>
      </c>
      <c r="G3204" s="125">
        <f t="shared" si="71"/>
        <v>0</v>
      </c>
      <c r="H3204" s="241"/>
    </row>
    <row r="3205" spans="1:8" ht="17.25">
      <c r="A3205" s="3">
        <f>IF(E3205="","",COUNTA($E$2727:E3205))</f>
      </c>
      <c r="B3205" s="39" t="s">
        <v>2242</v>
      </c>
      <c r="D3205" s="57"/>
      <c r="E3205" s="59"/>
      <c r="F3205" s="59"/>
      <c r="G3205" s="125"/>
      <c r="H3205" s="241"/>
    </row>
    <row r="3206" spans="1:8" ht="16.5">
      <c r="A3206" s="3">
        <f>IF(E3206="","",COUNTA($E$2727:E3206))</f>
        <v>423</v>
      </c>
      <c r="B3206" s="40" t="s">
        <v>2243</v>
      </c>
      <c r="C3206" s="21" t="s">
        <v>2207</v>
      </c>
      <c r="D3206" s="57"/>
      <c r="E3206" s="59">
        <f>1448720/1.1</f>
        <v>1317018.1818181816</v>
      </c>
      <c r="F3206" s="59">
        <f>1448720/1.1</f>
        <v>1317018.1818181816</v>
      </c>
      <c r="G3206" s="125">
        <f t="shared" si="71"/>
        <v>0</v>
      </c>
      <c r="H3206" s="241"/>
    </row>
    <row r="3207" spans="1:8" ht="16.5">
      <c r="A3207" s="3">
        <f>IF(E3207="","",COUNTA($E$2727:E3207))</f>
        <v>424</v>
      </c>
      <c r="B3207" s="40" t="s">
        <v>2244</v>
      </c>
      <c r="C3207" s="21" t="s">
        <v>2207</v>
      </c>
      <c r="D3207" s="57"/>
      <c r="E3207" s="59">
        <f>2305400/1.1</f>
        <v>2095818.1818181816</v>
      </c>
      <c r="F3207" s="59">
        <f>2305400/1.1</f>
        <v>2095818.1818181816</v>
      </c>
      <c r="G3207" s="125">
        <f t="shared" si="71"/>
        <v>0</v>
      </c>
      <c r="H3207" s="241"/>
    </row>
    <row r="3208" spans="1:8" ht="16.5">
      <c r="A3208" s="3">
        <f>IF(E3208="","",COUNTA($E$2727:E3208))</f>
        <v>425</v>
      </c>
      <c r="B3208" s="40" t="s">
        <v>2245</v>
      </c>
      <c r="C3208" s="21" t="s">
        <v>2207</v>
      </c>
      <c r="D3208" s="57"/>
      <c r="E3208" s="59">
        <f>1448720/1.1</f>
        <v>1317018.1818181816</v>
      </c>
      <c r="F3208" s="59">
        <f>1448720/1.1</f>
        <v>1317018.1818181816</v>
      </c>
      <c r="G3208" s="125">
        <f t="shared" si="71"/>
        <v>0</v>
      </c>
      <c r="H3208" s="241"/>
    </row>
    <row r="3209" spans="1:8" ht="16.5">
      <c r="A3209" s="3">
        <f>IF(E3209="","",COUNTA($E$2727:E3209))</f>
        <v>426</v>
      </c>
      <c r="B3209" s="40" t="s">
        <v>2246</v>
      </c>
      <c r="C3209" s="21" t="s">
        <v>2207</v>
      </c>
      <c r="D3209" s="57"/>
      <c r="E3209" s="59">
        <f>1332560/1.1</f>
        <v>1211418.1818181816</v>
      </c>
      <c r="F3209" s="59">
        <f>1332560/1.1</f>
        <v>1211418.1818181816</v>
      </c>
      <c r="G3209" s="125">
        <f t="shared" si="71"/>
        <v>0</v>
      </c>
      <c r="H3209" s="241"/>
    </row>
    <row r="3210" spans="1:8" ht="16.5">
      <c r="A3210" s="3">
        <f>IF(E3210="","",COUNTA($E$2727:E3210))</f>
        <v>427</v>
      </c>
      <c r="B3210" s="40" t="s">
        <v>2247</v>
      </c>
      <c r="C3210" s="21" t="s">
        <v>2207</v>
      </c>
      <c r="D3210" s="57"/>
      <c r="E3210" s="59">
        <f>1942400/1.1</f>
        <v>1765818.1818181816</v>
      </c>
      <c r="F3210" s="59">
        <f>1942400/1.1</f>
        <v>1765818.1818181816</v>
      </c>
      <c r="G3210" s="125">
        <f t="shared" si="71"/>
        <v>0</v>
      </c>
      <c r="H3210" s="241"/>
    </row>
    <row r="3211" spans="1:8" ht="16.5">
      <c r="A3211" s="3">
        <f>IF(E3211="","",COUNTA($E$2727:E3211))</f>
        <v>428</v>
      </c>
      <c r="B3211" s="40" t="s">
        <v>2248</v>
      </c>
      <c r="C3211" s="21" t="s">
        <v>2207</v>
      </c>
      <c r="D3211" s="57"/>
      <c r="E3211" s="59">
        <f>1579400/1.1</f>
        <v>1435818.1818181816</v>
      </c>
      <c r="F3211" s="59">
        <f>1579400/1.1</f>
        <v>1435818.1818181816</v>
      </c>
      <c r="G3211" s="125">
        <f t="shared" si="71"/>
        <v>0</v>
      </c>
      <c r="H3211" s="241"/>
    </row>
    <row r="3212" spans="1:8" ht="16.5">
      <c r="A3212" s="3">
        <f>IF(E3212="","",COUNTA($E$2727:E3212))</f>
        <v>429</v>
      </c>
      <c r="B3212" s="40" t="s">
        <v>2250</v>
      </c>
      <c r="C3212" s="21" t="s">
        <v>2207</v>
      </c>
      <c r="D3212" s="57"/>
      <c r="E3212" s="59">
        <f>1013120/1.1</f>
        <v>921018.1818181818</v>
      </c>
      <c r="F3212" s="59">
        <f>1013120/1.1</f>
        <v>921018.1818181818</v>
      </c>
      <c r="G3212" s="125">
        <f t="shared" si="71"/>
        <v>0</v>
      </c>
      <c r="H3212" s="241"/>
    </row>
    <row r="3213" spans="1:8" ht="16.5">
      <c r="A3213" s="3">
        <f>IF(E3213="","",COUNTA($E$2727:E3213))</f>
        <v>430</v>
      </c>
      <c r="B3213" s="40" t="s">
        <v>2249</v>
      </c>
      <c r="C3213" s="21" t="s">
        <v>2207</v>
      </c>
      <c r="D3213" s="57"/>
      <c r="E3213" s="59">
        <f>1071200/1.1</f>
        <v>973818.1818181818</v>
      </c>
      <c r="F3213" s="59">
        <f>1071200/1.1</f>
        <v>973818.1818181818</v>
      </c>
      <c r="G3213" s="125">
        <f t="shared" si="71"/>
        <v>0</v>
      </c>
      <c r="H3213" s="241"/>
    </row>
    <row r="3214" spans="1:8" ht="34.5">
      <c r="A3214" s="3">
        <f>IF(E3214="","",COUNTA($E$2727:E3214))</f>
      </c>
      <c r="B3214" s="39" t="s">
        <v>2251</v>
      </c>
      <c r="D3214" s="57"/>
      <c r="E3214" s="59"/>
      <c r="F3214" s="59"/>
      <c r="G3214" s="125"/>
      <c r="H3214" s="241"/>
    </row>
    <row r="3215" spans="1:8" ht="16.5">
      <c r="A3215" s="3">
        <f>IF(E3215="","",COUNTA($E$2727:E3215))</f>
        <v>431</v>
      </c>
      <c r="B3215" s="40" t="s">
        <v>2252</v>
      </c>
      <c r="C3215" s="21" t="s">
        <v>2207</v>
      </c>
      <c r="D3215" s="57"/>
      <c r="E3215" s="59">
        <f>772330/1.1</f>
        <v>702118.1818181818</v>
      </c>
      <c r="F3215" s="59">
        <f>772330/1.1</f>
        <v>702118.1818181818</v>
      </c>
      <c r="G3215" s="125">
        <f t="shared" si="71"/>
        <v>0</v>
      </c>
      <c r="H3215" s="241"/>
    </row>
    <row r="3216" spans="1:8" ht="16.5">
      <c r="A3216" s="3">
        <f>IF(E3216="","",COUNTA($E$2727:E3216))</f>
        <v>432</v>
      </c>
      <c r="B3216" s="40" t="s">
        <v>2253</v>
      </c>
      <c r="C3216" s="21" t="s">
        <v>2207</v>
      </c>
      <c r="D3216" s="57"/>
      <c r="E3216" s="59">
        <f>838880/1.1</f>
        <v>762618.1818181818</v>
      </c>
      <c r="F3216" s="59">
        <f>838880/1.1</f>
        <v>762618.1818181818</v>
      </c>
      <c r="G3216" s="125">
        <f t="shared" si="71"/>
        <v>0</v>
      </c>
      <c r="H3216" s="241"/>
    </row>
    <row r="3217" spans="1:8" ht="16.5">
      <c r="A3217" s="3">
        <f>IF(E3217="","",COUNTA($E$2727:E3217))</f>
        <v>433</v>
      </c>
      <c r="B3217" s="40" t="s">
        <v>2254</v>
      </c>
      <c r="C3217" s="21" t="s">
        <v>2207</v>
      </c>
      <c r="D3217" s="57"/>
      <c r="E3217" s="59">
        <f>865500/1.1</f>
        <v>786818.1818181818</v>
      </c>
      <c r="F3217" s="59">
        <f>865500/1.1</f>
        <v>786818.1818181818</v>
      </c>
      <c r="G3217" s="125">
        <f t="shared" si="71"/>
        <v>0</v>
      </c>
      <c r="H3217" s="241"/>
    </row>
    <row r="3218" spans="1:8" ht="33">
      <c r="A3218" s="3">
        <f>IF(E3218="","",COUNTA($E$2727:E3218))</f>
        <v>434</v>
      </c>
      <c r="B3218" s="40" t="s">
        <v>2255</v>
      </c>
      <c r="C3218" s="21" t="s">
        <v>2207</v>
      </c>
      <c r="D3218" s="57"/>
      <c r="E3218" s="59">
        <f>892120/1.1</f>
        <v>811018.1818181818</v>
      </c>
      <c r="F3218" s="59">
        <f>892120/1.1</f>
        <v>811018.1818181818</v>
      </c>
      <c r="G3218" s="125">
        <f t="shared" si="71"/>
        <v>0</v>
      </c>
      <c r="H3218" s="241"/>
    </row>
    <row r="3219" spans="1:8" ht="33">
      <c r="A3219" s="3">
        <f>IF(E3219="","",COUNTA($E$2727:E3219))</f>
        <v>435</v>
      </c>
      <c r="B3219" s="40" t="s">
        <v>2256</v>
      </c>
      <c r="C3219" s="21" t="s">
        <v>2207</v>
      </c>
      <c r="D3219" s="57"/>
      <c r="E3219" s="59">
        <f>918740/1.1</f>
        <v>835218.1818181818</v>
      </c>
      <c r="F3219" s="59">
        <f>918740/1.1</f>
        <v>835218.1818181818</v>
      </c>
      <c r="G3219" s="125">
        <f t="shared" si="71"/>
        <v>0</v>
      </c>
      <c r="H3219" s="241"/>
    </row>
    <row r="3220" spans="1:8" ht="33">
      <c r="A3220" s="3">
        <f>IF(E3220="","",COUNTA($E$2727:E3220))</f>
        <v>436</v>
      </c>
      <c r="B3220" s="40" t="s">
        <v>2257</v>
      </c>
      <c r="C3220" s="21" t="s">
        <v>2207</v>
      </c>
      <c r="D3220" s="57"/>
      <c r="E3220" s="59">
        <f>945360/1.1</f>
        <v>859418.1818181818</v>
      </c>
      <c r="F3220" s="59">
        <f>945360/1.1</f>
        <v>859418.1818181818</v>
      </c>
      <c r="G3220" s="125">
        <f t="shared" si="71"/>
        <v>0</v>
      </c>
      <c r="H3220" s="241"/>
    </row>
    <row r="3221" spans="1:8" ht="16.5">
      <c r="A3221" s="3">
        <f>IF(E3221="","",COUNTA($E$2727:E3221))</f>
        <v>437</v>
      </c>
      <c r="B3221" s="40" t="s">
        <v>2258</v>
      </c>
      <c r="C3221" s="21" t="s">
        <v>2207</v>
      </c>
      <c r="D3221" s="57"/>
      <c r="E3221" s="59">
        <f>838880/1.1</f>
        <v>762618.1818181818</v>
      </c>
      <c r="F3221" s="59">
        <f>838880/1.1</f>
        <v>762618.1818181818</v>
      </c>
      <c r="G3221" s="125">
        <f t="shared" si="71"/>
        <v>0</v>
      </c>
      <c r="H3221" s="241"/>
    </row>
    <row r="3222" spans="1:8" ht="16.5">
      <c r="A3222" s="3">
        <f>IF(E3222="","",COUNTA($E$2727:E3222))</f>
        <v>438</v>
      </c>
      <c r="B3222" s="40" t="s">
        <v>2259</v>
      </c>
      <c r="C3222" s="21" t="s">
        <v>2207</v>
      </c>
      <c r="D3222" s="57"/>
      <c r="E3222" s="59">
        <f>945360/1.1</f>
        <v>859418.1818181818</v>
      </c>
      <c r="F3222" s="59">
        <f>945360/1.1</f>
        <v>859418.1818181818</v>
      </c>
      <c r="G3222" s="125">
        <f t="shared" si="71"/>
        <v>0</v>
      </c>
      <c r="H3222" s="241"/>
    </row>
    <row r="3223" spans="1:8" ht="16.5">
      <c r="A3223" s="3">
        <f>IF(E3223="","",COUNTA($E$2727:E3223))</f>
        <v>439</v>
      </c>
      <c r="B3223" s="40" t="s">
        <v>2260</v>
      </c>
      <c r="C3223" s="21" t="s">
        <v>2207</v>
      </c>
      <c r="D3223" s="57"/>
      <c r="E3223" s="59">
        <f>1397900/1.1</f>
        <v>1270818.1818181816</v>
      </c>
      <c r="F3223" s="59">
        <f>1397900/1.1</f>
        <v>1270818.1818181816</v>
      </c>
      <c r="G3223" s="125">
        <f t="shared" si="71"/>
        <v>0</v>
      </c>
      <c r="H3223" s="241"/>
    </row>
    <row r="3224" spans="1:8" ht="16.5">
      <c r="A3224" s="3">
        <f>IF(E3224="","",COUNTA($E$2727:E3224))</f>
        <v>440</v>
      </c>
      <c r="B3224" s="40" t="s">
        <v>2261</v>
      </c>
      <c r="C3224" s="21" t="s">
        <v>2207</v>
      </c>
      <c r="D3224" s="57"/>
      <c r="E3224" s="59">
        <f>1597550/1.1</f>
        <v>1452318.1818181816</v>
      </c>
      <c r="F3224" s="59">
        <f>1597550/1.1</f>
        <v>1452318.1818181816</v>
      </c>
      <c r="G3224" s="125">
        <f t="shared" si="71"/>
        <v>0</v>
      </c>
      <c r="H3224" s="241"/>
    </row>
    <row r="3225" spans="1:8" ht="16.5">
      <c r="A3225" s="3">
        <f>IF(E3225="","",COUNTA($E$2727:E3225))</f>
        <v>441</v>
      </c>
      <c r="B3225" s="40" t="s">
        <v>2262</v>
      </c>
      <c r="C3225" s="21" t="s">
        <v>2207</v>
      </c>
      <c r="D3225" s="57"/>
      <c r="E3225" s="59">
        <f>1065150/1.1</f>
        <v>968318.1818181818</v>
      </c>
      <c r="F3225" s="59">
        <f>1065150/1.1</f>
        <v>968318.1818181818</v>
      </c>
      <c r="G3225" s="125">
        <f t="shared" si="71"/>
        <v>0</v>
      </c>
      <c r="H3225" s="241"/>
    </row>
    <row r="3226" spans="1:8" ht="17.25">
      <c r="A3226" s="3">
        <f>IF(E3226="","",COUNTA($E$2727:E3226))</f>
      </c>
      <c r="B3226" s="39" t="s">
        <v>2263</v>
      </c>
      <c r="D3226" s="57"/>
      <c r="E3226" s="59"/>
      <c r="F3226" s="59"/>
      <c r="G3226" s="125"/>
      <c r="H3226" s="241"/>
    </row>
    <row r="3227" spans="1:8" ht="16.5">
      <c r="A3227" s="3">
        <f>IF(E3227="","",COUNTA($E$2727:E3227))</f>
        <v>442</v>
      </c>
      <c r="B3227" s="40" t="s">
        <v>2264</v>
      </c>
      <c r="C3227" s="21" t="s">
        <v>2664</v>
      </c>
      <c r="D3227" s="57"/>
      <c r="E3227" s="59">
        <f>699625/1.1</f>
        <v>636022.7272727272</v>
      </c>
      <c r="F3227" s="59">
        <f>699625/1.1</f>
        <v>636022.7272727272</v>
      </c>
      <c r="G3227" s="125">
        <f t="shared" si="71"/>
        <v>0</v>
      </c>
      <c r="H3227" s="241"/>
    </row>
    <row r="3228" spans="1:8" ht="33">
      <c r="A3228" s="3">
        <f>IF(E3228="","",COUNTA($E$2727:E3228))</f>
        <v>443</v>
      </c>
      <c r="B3228" s="40" t="s">
        <v>2265</v>
      </c>
      <c r="C3228" s="21" t="s">
        <v>2664</v>
      </c>
      <c r="D3228" s="57"/>
      <c r="E3228" s="59">
        <f>745430/1.1</f>
        <v>677663.6363636364</v>
      </c>
      <c r="F3228" s="59">
        <f>745430/1.1</f>
        <v>677663.6363636364</v>
      </c>
      <c r="G3228" s="125">
        <f t="shared" si="71"/>
        <v>0</v>
      </c>
      <c r="H3228" s="241"/>
    </row>
    <row r="3229" spans="1:8" ht="33">
      <c r="A3229" s="3">
        <f>IF(E3229="","",COUNTA($E$2727:E3229))</f>
        <v>444</v>
      </c>
      <c r="B3229" s="40" t="s">
        <v>2266</v>
      </c>
      <c r="C3229" s="21" t="s">
        <v>2664</v>
      </c>
      <c r="D3229" s="57"/>
      <c r="E3229" s="59">
        <f>488646/1.1</f>
        <v>444223.63636363635</v>
      </c>
      <c r="F3229" s="59">
        <f>488646/1.1</f>
        <v>444223.63636363635</v>
      </c>
      <c r="G3229" s="125">
        <f t="shared" si="71"/>
        <v>0</v>
      </c>
      <c r="H3229" s="241"/>
    </row>
    <row r="3230" spans="1:8" ht="33">
      <c r="A3230" s="3">
        <f>IF(E3230="","",COUNTA($E$2727:E3230))</f>
        <v>445</v>
      </c>
      <c r="B3230" s="40" t="s">
        <v>2267</v>
      </c>
      <c r="C3230" s="21" t="s">
        <v>2664</v>
      </c>
      <c r="D3230" s="57"/>
      <c r="E3230" s="59">
        <f>433125/1.1</f>
        <v>393749.99999999994</v>
      </c>
      <c r="F3230" s="59">
        <f>433125/1.1</f>
        <v>393749.99999999994</v>
      </c>
      <c r="G3230" s="125">
        <f t="shared" si="71"/>
        <v>0</v>
      </c>
      <c r="H3230" s="241"/>
    </row>
    <row r="3231" spans="1:8" ht="33">
      <c r="A3231" s="3">
        <f>IF(E3231="","",COUNTA($E$2727:E3231))</f>
        <v>446</v>
      </c>
      <c r="B3231" s="40" t="s">
        <v>2268</v>
      </c>
      <c r="C3231" s="21" t="s">
        <v>2664</v>
      </c>
      <c r="D3231" s="57"/>
      <c r="E3231" s="59">
        <f>724609/1.1</f>
        <v>658735.4545454545</v>
      </c>
      <c r="F3231" s="59">
        <f>724609/1.1</f>
        <v>658735.4545454545</v>
      </c>
      <c r="G3231" s="125">
        <f t="shared" si="71"/>
        <v>0</v>
      </c>
      <c r="H3231" s="241"/>
    </row>
    <row r="3232" spans="1:8" ht="33">
      <c r="A3232" s="3">
        <f>IF(E3232="","",COUNTA($E$2727:E3232))</f>
        <v>447</v>
      </c>
      <c r="B3232" s="40" t="s">
        <v>2269</v>
      </c>
      <c r="C3232" s="21" t="s">
        <v>2664</v>
      </c>
      <c r="D3232" s="57"/>
      <c r="E3232" s="59">
        <f>2390235/1.1</f>
        <v>2172940.9090909087</v>
      </c>
      <c r="F3232" s="59">
        <f>2390235/1.1</f>
        <v>2172940.9090909087</v>
      </c>
      <c r="G3232" s="125">
        <f t="shared" si="71"/>
        <v>0</v>
      </c>
      <c r="H3232" s="242"/>
    </row>
    <row r="3233" spans="1:8" s="117" customFormat="1" ht="34.5">
      <c r="A3233" s="3">
        <f>IF(E3233="","",COUNTA($E$2727:E3233))</f>
      </c>
      <c r="B3233" s="115" t="s">
        <v>2406</v>
      </c>
      <c r="C3233" s="49"/>
      <c r="D3233" s="50"/>
      <c r="E3233" s="59"/>
      <c r="F3233" s="116"/>
      <c r="G3233" s="125"/>
      <c r="H3233" s="240" t="s">
        <v>2407</v>
      </c>
    </row>
    <row r="3234" spans="1:8" s="117" customFormat="1" ht="33">
      <c r="A3234" s="3">
        <f>IF(E3234="","",COUNTA($E$2727:E3234))</f>
        <v>448</v>
      </c>
      <c r="B3234" s="118" t="s">
        <v>2408</v>
      </c>
      <c r="C3234" s="49" t="s">
        <v>2207</v>
      </c>
      <c r="D3234" s="50"/>
      <c r="E3234" s="59">
        <f>6875000/1.1</f>
        <v>6249999.999999999</v>
      </c>
      <c r="F3234" s="59">
        <f>6875000/1.1</f>
        <v>6249999.999999999</v>
      </c>
      <c r="G3234" s="125">
        <f t="shared" si="71"/>
        <v>0</v>
      </c>
      <c r="H3234" s="241"/>
    </row>
    <row r="3235" spans="1:8" s="117" customFormat="1" ht="33">
      <c r="A3235" s="3">
        <f>IF(E3235="","",COUNTA($E$2727:E3235))</f>
        <v>449</v>
      </c>
      <c r="B3235" s="118" t="s">
        <v>2409</v>
      </c>
      <c r="C3235" s="49" t="s">
        <v>2207</v>
      </c>
      <c r="D3235" s="50"/>
      <c r="E3235" s="59">
        <f>5390000/1.1</f>
        <v>4900000</v>
      </c>
      <c r="F3235" s="59">
        <f>5390000/1.1</f>
        <v>4900000</v>
      </c>
      <c r="G3235" s="125">
        <f t="shared" si="71"/>
        <v>0</v>
      </c>
      <c r="H3235" s="241"/>
    </row>
    <row r="3236" spans="1:8" s="117" customFormat="1" ht="33">
      <c r="A3236" s="3">
        <f>IF(E3236="","",COUNTA($E$2727:E3236))</f>
        <v>450</v>
      </c>
      <c r="B3236" s="118" t="s">
        <v>2410</v>
      </c>
      <c r="C3236" s="49" t="s">
        <v>2207</v>
      </c>
      <c r="D3236" s="50"/>
      <c r="E3236" s="59">
        <f>6655000/1.1</f>
        <v>6049999.999999999</v>
      </c>
      <c r="F3236" s="59">
        <f>6655000/1.1</f>
        <v>6049999.999999999</v>
      </c>
      <c r="G3236" s="125">
        <f t="shared" si="71"/>
        <v>0</v>
      </c>
      <c r="H3236" s="241"/>
    </row>
    <row r="3237" spans="1:8" s="117" customFormat="1" ht="33">
      <c r="A3237" s="3">
        <f>IF(E3237="","",COUNTA($E$2727:E3237))</f>
        <v>451</v>
      </c>
      <c r="B3237" s="118" t="s">
        <v>2411</v>
      </c>
      <c r="C3237" s="49" t="s">
        <v>2207</v>
      </c>
      <c r="D3237" s="50"/>
      <c r="E3237" s="59">
        <f>8635000/1.1</f>
        <v>7849999.999999999</v>
      </c>
      <c r="F3237" s="59">
        <f>8635000/1.1</f>
        <v>7849999.999999999</v>
      </c>
      <c r="G3237" s="125">
        <f t="shared" si="71"/>
        <v>0</v>
      </c>
      <c r="H3237" s="241"/>
    </row>
    <row r="3238" spans="1:8" s="117" customFormat="1" ht="33">
      <c r="A3238" s="3">
        <f>IF(E3238="","",COUNTA($E$2727:E3238))</f>
        <v>452</v>
      </c>
      <c r="B3238" s="118" t="s">
        <v>2412</v>
      </c>
      <c r="C3238" s="49" t="s">
        <v>2207</v>
      </c>
      <c r="D3238" s="50"/>
      <c r="E3238" s="59">
        <f>6600000/1.1</f>
        <v>5999999.999999999</v>
      </c>
      <c r="F3238" s="59">
        <f>6600000/1.1</f>
        <v>5999999.999999999</v>
      </c>
      <c r="G3238" s="125">
        <f t="shared" si="71"/>
        <v>0</v>
      </c>
      <c r="H3238" s="241"/>
    </row>
    <row r="3239" spans="1:8" s="117" customFormat="1" ht="33">
      <c r="A3239" s="3">
        <f>IF(E3239="","",COUNTA($E$2727:E3239))</f>
        <v>453</v>
      </c>
      <c r="B3239" s="118" t="s">
        <v>2413</v>
      </c>
      <c r="C3239" s="49" t="s">
        <v>2207</v>
      </c>
      <c r="D3239" s="50"/>
      <c r="E3239" s="59">
        <f>7920000/1.1</f>
        <v>7199999.999999999</v>
      </c>
      <c r="F3239" s="59">
        <f>7920000/1.1</f>
        <v>7199999.999999999</v>
      </c>
      <c r="G3239" s="125">
        <f t="shared" si="71"/>
        <v>0</v>
      </c>
      <c r="H3239" s="241"/>
    </row>
    <row r="3240" spans="1:8" s="117" customFormat="1" ht="33">
      <c r="A3240" s="3">
        <f>IF(E3240="","",COUNTA($E$2727:E3240))</f>
        <v>454</v>
      </c>
      <c r="B3240" s="118" t="s">
        <v>2414</v>
      </c>
      <c r="C3240" s="49" t="s">
        <v>2207</v>
      </c>
      <c r="D3240" s="50"/>
      <c r="E3240" s="59">
        <f>4470400/1.1</f>
        <v>4063999.9999999995</v>
      </c>
      <c r="F3240" s="59">
        <f>4470400/1.1</f>
        <v>4063999.9999999995</v>
      </c>
      <c r="G3240" s="125">
        <f t="shared" si="71"/>
        <v>0</v>
      </c>
      <c r="H3240" s="241"/>
    </row>
    <row r="3241" spans="1:8" s="117" customFormat="1" ht="33">
      <c r="A3241" s="3">
        <f>IF(E3241="","",COUNTA($E$2727:E3241))</f>
        <v>455</v>
      </c>
      <c r="B3241" s="118" t="s">
        <v>2415</v>
      </c>
      <c r="C3241" s="49" t="s">
        <v>2207</v>
      </c>
      <c r="D3241" s="50"/>
      <c r="E3241" s="59">
        <f>7199500/1.1</f>
        <v>6544999.999999999</v>
      </c>
      <c r="F3241" s="59">
        <f>7199500/1.1</f>
        <v>6544999.999999999</v>
      </c>
      <c r="G3241" s="125">
        <f t="shared" si="71"/>
        <v>0</v>
      </c>
      <c r="H3241" s="241"/>
    </row>
    <row r="3242" spans="1:8" s="117" customFormat="1" ht="33">
      <c r="A3242" s="3">
        <f>IF(E3242="","",COUNTA($E$2727:E3242))</f>
        <v>456</v>
      </c>
      <c r="B3242" s="118" t="s">
        <v>2416</v>
      </c>
      <c r="C3242" s="49" t="s">
        <v>2207</v>
      </c>
      <c r="D3242" s="50"/>
      <c r="E3242" s="59">
        <f>8415000/1.1</f>
        <v>7649999.999999999</v>
      </c>
      <c r="F3242" s="59">
        <f>8415000/1.1</f>
        <v>7649999.999999999</v>
      </c>
      <c r="G3242" s="125">
        <f t="shared" si="71"/>
        <v>0</v>
      </c>
      <c r="H3242" s="241"/>
    </row>
    <row r="3243" spans="1:8" s="117" customFormat="1" ht="33">
      <c r="A3243" s="3">
        <f>IF(E3243="","",COUNTA($E$2727:E3243))</f>
        <v>457</v>
      </c>
      <c r="B3243" s="118" t="s">
        <v>2417</v>
      </c>
      <c r="C3243" s="49" t="s">
        <v>2207</v>
      </c>
      <c r="D3243" s="50"/>
      <c r="E3243" s="59">
        <f>4840000/1.1</f>
        <v>4400000</v>
      </c>
      <c r="F3243" s="59">
        <f>4840000/1.1</f>
        <v>4400000</v>
      </c>
      <c r="G3243" s="125">
        <f t="shared" si="71"/>
        <v>0</v>
      </c>
      <c r="H3243" s="241"/>
    </row>
    <row r="3244" spans="1:8" s="117" customFormat="1" ht="33">
      <c r="A3244" s="3">
        <f>IF(E3244="","",COUNTA($E$2727:E3244))</f>
        <v>458</v>
      </c>
      <c r="B3244" s="118" t="s">
        <v>2418</v>
      </c>
      <c r="C3244" s="49" t="s">
        <v>2207</v>
      </c>
      <c r="D3244" s="50"/>
      <c r="E3244" s="59">
        <f>6050000/1.1</f>
        <v>5500000</v>
      </c>
      <c r="F3244" s="59">
        <f>6050000/1.1</f>
        <v>5500000</v>
      </c>
      <c r="G3244" s="125">
        <f t="shared" si="71"/>
        <v>0</v>
      </c>
      <c r="H3244" s="241"/>
    </row>
    <row r="3245" spans="1:8" s="117" customFormat="1" ht="33">
      <c r="A3245" s="3">
        <f>IF(E3245="","",COUNTA($E$2727:E3245))</f>
        <v>459</v>
      </c>
      <c r="B3245" s="118" t="s">
        <v>2419</v>
      </c>
      <c r="C3245" s="49" t="s">
        <v>2207</v>
      </c>
      <c r="D3245" s="50"/>
      <c r="E3245" s="59">
        <f>6765000/1.1</f>
        <v>6149999.999999999</v>
      </c>
      <c r="F3245" s="59">
        <f>6765000/1.1</f>
        <v>6149999.999999999</v>
      </c>
      <c r="G3245" s="125">
        <f t="shared" si="71"/>
        <v>0</v>
      </c>
      <c r="H3245" s="241"/>
    </row>
    <row r="3246" spans="1:8" s="117" customFormat="1" ht="33">
      <c r="A3246" s="3">
        <f>IF(E3246="","",COUNTA($E$2727:E3246))</f>
        <v>460</v>
      </c>
      <c r="B3246" s="118" t="s">
        <v>2420</v>
      </c>
      <c r="C3246" s="49" t="s">
        <v>2207</v>
      </c>
      <c r="D3246" s="50"/>
      <c r="E3246" s="59">
        <f>7425000/1.1</f>
        <v>6749999.999999999</v>
      </c>
      <c r="F3246" s="59">
        <f>7425000/1.1</f>
        <v>6749999.999999999</v>
      </c>
      <c r="G3246" s="125">
        <f t="shared" si="71"/>
        <v>0</v>
      </c>
      <c r="H3246" s="242"/>
    </row>
    <row r="3247" spans="1:7" ht="16.5">
      <c r="A3247" s="20" t="s">
        <v>3191</v>
      </c>
      <c r="B3247" s="41" t="s">
        <v>1495</v>
      </c>
      <c r="C3247" s="141"/>
      <c r="G3247" s="125"/>
    </row>
    <row r="3248" spans="1:9" s="104" customFormat="1" ht="16.5">
      <c r="A3248" s="3">
        <f>IF(F3248="","",COUNTA($F$3248:F3248))</f>
        <v>1</v>
      </c>
      <c r="B3248" s="42" t="s">
        <v>2180</v>
      </c>
      <c r="C3248" s="21" t="s">
        <v>1040</v>
      </c>
      <c r="D3248" s="62"/>
      <c r="E3248" s="8">
        <v>15100</v>
      </c>
      <c r="F3248" s="174">
        <v>16500</v>
      </c>
      <c r="G3248" s="125">
        <f aca="true" t="shared" si="72" ref="G3248:G3254">(E3248-F3248)/F3248</f>
        <v>-0.08484848484848485</v>
      </c>
      <c r="H3248" s="231" t="s">
        <v>3268</v>
      </c>
      <c r="I3248" s="289"/>
    </row>
    <row r="3249" spans="1:9" s="104" customFormat="1" ht="16.5">
      <c r="A3249" s="3">
        <f>IF(F3249="","",COUNTA($F$3248:F3249))</f>
        <v>2</v>
      </c>
      <c r="B3249" s="42" t="s">
        <v>2179</v>
      </c>
      <c r="C3249" s="21"/>
      <c r="D3249" s="62"/>
      <c r="E3249" s="8">
        <v>17200</v>
      </c>
      <c r="F3249" s="174">
        <v>17200</v>
      </c>
      <c r="G3249" s="125">
        <f t="shared" si="72"/>
        <v>0</v>
      </c>
      <c r="H3249" s="232"/>
      <c r="I3249" s="289"/>
    </row>
    <row r="3250" spans="1:9" s="104" customFormat="1" ht="16.5">
      <c r="A3250" s="3">
        <f>IF(F3250="","",COUNTA($F$3248:F3250))</f>
        <v>3</v>
      </c>
      <c r="B3250" s="42" t="s">
        <v>3270</v>
      </c>
      <c r="C3250" s="21" t="s">
        <v>1040</v>
      </c>
      <c r="D3250" s="62"/>
      <c r="E3250" s="8">
        <v>14400</v>
      </c>
      <c r="F3250" s="174">
        <v>13200</v>
      </c>
      <c r="G3250" s="125">
        <f t="shared" si="72"/>
        <v>0.09090909090909091</v>
      </c>
      <c r="H3250" s="232"/>
      <c r="I3250" s="289">
        <f>MIN(G3248:G3254)</f>
        <v>-0.1111111111111111</v>
      </c>
    </row>
    <row r="3251" spans="1:9" s="104" customFormat="1" ht="16.5">
      <c r="A3251" s="3">
        <f>IF(F3251="","",COUNTA($F$3248:F3251))</f>
        <v>4</v>
      </c>
      <c r="B3251" s="42" t="s">
        <v>3269</v>
      </c>
      <c r="C3251" s="21"/>
      <c r="D3251" s="62"/>
      <c r="E3251" s="8">
        <v>16900</v>
      </c>
      <c r="F3251" s="174">
        <v>16900</v>
      </c>
      <c r="G3251" s="125">
        <f t="shared" si="72"/>
        <v>0</v>
      </c>
      <c r="H3251" s="232"/>
      <c r="I3251" s="289">
        <f>MAX(G3248:G3254)</f>
        <v>0.09090909090909091</v>
      </c>
    </row>
    <row r="3252" spans="1:8" s="104" customFormat="1" ht="16.5">
      <c r="A3252" s="3">
        <f>IF(F3252="","",COUNTA($F$3248:F3252))</f>
        <v>5</v>
      </c>
      <c r="B3252" s="42" t="s">
        <v>2183</v>
      </c>
      <c r="C3252" s="21" t="s">
        <v>1040</v>
      </c>
      <c r="D3252" s="62"/>
      <c r="E3252" s="8">
        <v>20000</v>
      </c>
      <c r="F3252" s="174">
        <v>22500</v>
      </c>
      <c r="G3252" s="125">
        <f t="shared" si="72"/>
        <v>-0.1111111111111111</v>
      </c>
      <c r="H3252" s="232"/>
    </row>
    <row r="3253" spans="1:8" s="104" customFormat="1" ht="16.5">
      <c r="A3253" s="3">
        <f>IF(F3253="","",COUNTA($F$3248:F3253))</f>
        <v>6</v>
      </c>
      <c r="B3253" s="42" t="s">
        <v>2184</v>
      </c>
      <c r="C3253" s="21"/>
      <c r="D3253" s="62"/>
      <c r="E3253" s="8">
        <v>22500</v>
      </c>
      <c r="F3253" s="174">
        <v>22500</v>
      </c>
      <c r="G3253" s="125">
        <f t="shared" si="72"/>
        <v>0</v>
      </c>
      <c r="H3253" s="232"/>
    </row>
    <row r="3254" spans="1:8" s="104" customFormat="1" ht="16.5">
      <c r="A3254" s="3">
        <f>IF(F3254="","",COUNTA($F$3248:F3254))</f>
        <v>7</v>
      </c>
      <c r="B3254" s="42" t="s">
        <v>3205</v>
      </c>
      <c r="C3254" s="21" t="s">
        <v>1040</v>
      </c>
      <c r="D3254" s="62"/>
      <c r="E3254" s="8">
        <v>21700</v>
      </c>
      <c r="F3254" s="174">
        <v>22200</v>
      </c>
      <c r="G3254" s="125">
        <f t="shared" si="72"/>
        <v>-0.02252252252252252</v>
      </c>
      <c r="H3254" s="233"/>
    </row>
    <row r="3255" spans="1:8" ht="115.5">
      <c r="A3255" s="3">
        <f>IF(F3255="","",COUNTA($F$3248:F3255))</f>
        <v>8</v>
      </c>
      <c r="B3255" s="42" t="s">
        <v>1499</v>
      </c>
      <c r="C3255" s="21" t="s">
        <v>1021</v>
      </c>
      <c r="E3255" s="8">
        <f>4082400/1.08</f>
        <v>3779999.9999999995</v>
      </c>
      <c r="F3255" s="8">
        <f>4082400/1.08</f>
        <v>3779999.9999999995</v>
      </c>
      <c r="G3255" s="125">
        <f>(E3255-F3255)/E3255</f>
        <v>0</v>
      </c>
      <c r="H3255" s="57" t="s">
        <v>1214</v>
      </c>
    </row>
    <row r="3256" spans="1:8" ht="33">
      <c r="A3256" s="20" t="s">
        <v>3192</v>
      </c>
      <c r="B3256" s="41" t="s">
        <v>1496</v>
      </c>
      <c r="G3256" s="125"/>
      <c r="H3256" s="50"/>
    </row>
    <row r="3257" spans="1:8" ht="33">
      <c r="A3257" s="3">
        <f>IF(F3257="","",COUNTA($F$570:F3257))</f>
      </c>
      <c r="B3257" s="34" t="s">
        <v>3079</v>
      </c>
      <c r="G3257" s="196"/>
      <c r="H3257" s="247" t="s">
        <v>2079</v>
      </c>
    </row>
    <row r="3258" spans="1:8" ht="66">
      <c r="A3258" s="3">
        <f>IF(E3258="","",COUNTA($E$3258:E3258))</f>
        <v>1</v>
      </c>
      <c r="B3258" s="25" t="s">
        <v>366</v>
      </c>
      <c r="C3258" s="21" t="s">
        <v>1497</v>
      </c>
      <c r="D3258" s="43" t="s">
        <v>717</v>
      </c>
      <c r="E3258" s="13">
        <f>8561000/1.1</f>
        <v>7782727.2727272725</v>
      </c>
      <c r="F3258" s="13">
        <f>8561000/1.1</f>
        <v>7782727.2727272725</v>
      </c>
      <c r="G3258" s="196">
        <f>(E3258-F3258)/E3258</f>
        <v>0</v>
      </c>
      <c r="H3258" s="247"/>
    </row>
    <row r="3259" spans="1:8" ht="66">
      <c r="A3259" s="3">
        <f>IF(E3259="","",COUNTA($E$3258:E3259))</f>
        <v>2</v>
      </c>
      <c r="B3259" s="25" t="s">
        <v>367</v>
      </c>
      <c r="C3259" s="21" t="s">
        <v>1497</v>
      </c>
      <c r="D3259" s="43" t="s">
        <v>717</v>
      </c>
      <c r="E3259" s="13">
        <f>8741000/1.1</f>
        <v>7946363.636363636</v>
      </c>
      <c r="F3259" s="13">
        <f>8741000/1.1</f>
        <v>7946363.636363636</v>
      </c>
      <c r="G3259" s="196">
        <f>(E3259-F3259)/E3259</f>
        <v>0</v>
      </c>
      <c r="H3259" s="247"/>
    </row>
    <row r="3260" spans="1:8" ht="66">
      <c r="A3260" s="3">
        <f>IF(E3260="","",COUNTA($E$3258:E3260))</f>
        <v>3</v>
      </c>
      <c r="B3260" s="25" t="s">
        <v>368</v>
      </c>
      <c r="C3260" s="21" t="s">
        <v>1497</v>
      </c>
      <c r="D3260" s="43" t="s">
        <v>717</v>
      </c>
      <c r="E3260" s="13">
        <f>8921000/1.1</f>
        <v>8109999.999999999</v>
      </c>
      <c r="F3260" s="13">
        <f>8921000/1.1</f>
        <v>8109999.999999999</v>
      </c>
      <c r="G3260" s="196">
        <f>(E3260-F3260)/E3260</f>
        <v>0</v>
      </c>
      <c r="H3260" s="247"/>
    </row>
    <row r="3261" spans="1:8" ht="16.5">
      <c r="A3261" s="3">
        <f>IF(E3261="","",COUNTA($E$3258:E3261))</f>
      </c>
      <c r="B3261" s="34" t="s">
        <v>3064</v>
      </c>
      <c r="D3261" s="43"/>
      <c r="E3261" s="13"/>
      <c r="F3261" s="13"/>
      <c r="G3261" s="196"/>
      <c r="H3261" s="247"/>
    </row>
    <row r="3262" spans="1:8" ht="49.5">
      <c r="A3262" s="3">
        <f>IF(E3262="","",COUNTA($E$3258:E3262))</f>
        <v>4</v>
      </c>
      <c r="B3262" s="25" t="s">
        <v>3065</v>
      </c>
      <c r="C3262" s="21" t="s">
        <v>1745</v>
      </c>
      <c r="D3262" s="43" t="s">
        <v>3072</v>
      </c>
      <c r="E3262" s="13">
        <f>1040000/1.1</f>
        <v>945454.5454545454</v>
      </c>
      <c r="F3262" s="179">
        <f>1040000/1.1</f>
        <v>945454.5454545454</v>
      </c>
      <c r="G3262" s="196">
        <f aca="true" t="shared" si="73" ref="G3262:G3276">(E3262-F3262)/E3262</f>
        <v>0</v>
      </c>
      <c r="H3262" s="247"/>
    </row>
    <row r="3263" spans="1:8" ht="49.5">
      <c r="A3263" s="3">
        <f>IF(E3263="","",COUNTA($E$3258:E3263))</f>
        <v>5</v>
      </c>
      <c r="B3263" s="25" t="s">
        <v>3066</v>
      </c>
      <c r="C3263" s="21" t="s">
        <v>1745</v>
      </c>
      <c r="D3263" s="43" t="s">
        <v>3072</v>
      </c>
      <c r="E3263" s="13">
        <f>1299000/1.1</f>
        <v>1180909.0909090908</v>
      </c>
      <c r="F3263" s="179">
        <f>1299000/1.1</f>
        <v>1180909.0909090908</v>
      </c>
      <c r="G3263" s="196">
        <f t="shared" si="73"/>
        <v>0</v>
      </c>
      <c r="H3263" s="247"/>
    </row>
    <row r="3264" spans="1:8" ht="49.5">
      <c r="A3264" s="3">
        <f>IF(E3264="","",COUNTA($E$3258:E3264))</f>
        <v>6</v>
      </c>
      <c r="B3264" s="25" t="s">
        <v>3206</v>
      </c>
      <c r="C3264" s="21" t="s">
        <v>1745</v>
      </c>
      <c r="D3264" s="43" t="s">
        <v>3072</v>
      </c>
      <c r="E3264" s="13">
        <f>1536000/1.1</f>
        <v>1396363.6363636362</v>
      </c>
      <c r="F3264" s="179">
        <f>1536000/1.1</f>
        <v>1396363.6363636362</v>
      </c>
      <c r="G3264" s="196">
        <f>(E3264-F3264)/E3264</f>
        <v>0</v>
      </c>
      <c r="H3264" s="247"/>
    </row>
    <row r="3265" spans="1:8" ht="49.5">
      <c r="A3265" s="3">
        <f>IF(E3265="","",COUNTA($E$3258:E3265))</f>
        <v>7</v>
      </c>
      <c r="B3265" s="25" t="s">
        <v>3067</v>
      </c>
      <c r="C3265" s="21" t="s">
        <v>1745</v>
      </c>
      <c r="D3265" s="43" t="s">
        <v>3072</v>
      </c>
      <c r="E3265" s="13">
        <f>1638000/1.1</f>
        <v>1489090.909090909</v>
      </c>
      <c r="F3265" s="179">
        <f>1638000/1.1</f>
        <v>1489090.909090909</v>
      </c>
      <c r="G3265" s="196">
        <f t="shared" si="73"/>
        <v>0</v>
      </c>
      <c r="H3265" s="247"/>
    </row>
    <row r="3266" spans="1:8" ht="49.5">
      <c r="A3266" s="3">
        <f>IF(E3266="","",COUNTA($E$3258:E3266))</f>
        <v>8</v>
      </c>
      <c r="B3266" s="25" t="s">
        <v>3068</v>
      </c>
      <c r="C3266" s="21" t="s">
        <v>1745</v>
      </c>
      <c r="D3266" s="43" t="s">
        <v>3072</v>
      </c>
      <c r="E3266" s="13">
        <f>1763000/1.1</f>
        <v>1602727.2727272727</v>
      </c>
      <c r="F3266" s="179">
        <f>1763000/1.1</f>
        <v>1602727.2727272727</v>
      </c>
      <c r="G3266" s="196">
        <f t="shared" si="73"/>
        <v>0</v>
      </c>
      <c r="H3266" s="247"/>
    </row>
    <row r="3267" spans="1:8" ht="49.5">
      <c r="A3267" s="3">
        <f>IF(E3267="","",COUNTA($E$3258:E3267))</f>
        <v>9</v>
      </c>
      <c r="B3267" s="25" t="s">
        <v>3069</v>
      </c>
      <c r="C3267" s="21" t="s">
        <v>1745</v>
      </c>
      <c r="D3267" s="43" t="s">
        <v>3072</v>
      </c>
      <c r="E3267" s="13">
        <f>1496000/1.1</f>
        <v>1360000</v>
      </c>
      <c r="F3267" s="179">
        <f>1496000/1.1</f>
        <v>1360000</v>
      </c>
      <c r="G3267" s="196">
        <f t="shared" si="73"/>
        <v>0</v>
      </c>
      <c r="H3267" s="247"/>
    </row>
    <row r="3268" spans="1:8" ht="49.5">
      <c r="A3268" s="3">
        <f>IF(E3268="","",COUNTA($E$3258:E3268))</f>
        <v>10</v>
      </c>
      <c r="B3268" s="25" t="s">
        <v>3070</v>
      </c>
      <c r="C3268" s="21" t="s">
        <v>1745</v>
      </c>
      <c r="D3268" s="43" t="s">
        <v>3072</v>
      </c>
      <c r="E3268" s="13">
        <f>1914000/1.1</f>
        <v>1739999.9999999998</v>
      </c>
      <c r="F3268" s="179">
        <f>1914000/1.1</f>
        <v>1739999.9999999998</v>
      </c>
      <c r="G3268" s="196">
        <f t="shared" si="73"/>
        <v>0</v>
      </c>
      <c r="H3268" s="247"/>
    </row>
    <row r="3269" spans="1:8" ht="49.5">
      <c r="A3269" s="3">
        <f>IF(E3269="","",COUNTA($E$3258:E3269))</f>
        <v>11</v>
      </c>
      <c r="B3269" s="25" t="s">
        <v>3071</v>
      </c>
      <c r="C3269" s="21" t="s">
        <v>1745</v>
      </c>
      <c r="D3269" s="43" t="s">
        <v>3072</v>
      </c>
      <c r="E3269" s="13">
        <f>2392000/1.1</f>
        <v>2174545.4545454546</v>
      </c>
      <c r="F3269" s="179">
        <f>2392000/1.1</f>
        <v>2174545.4545454546</v>
      </c>
      <c r="G3269" s="196">
        <f>(E3269-F3269)/E3269</f>
        <v>0</v>
      </c>
      <c r="H3269" s="247"/>
    </row>
    <row r="3270" spans="1:8" ht="49.5">
      <c r="A3270" s="3">
        <f>IF(E3270="","",COUNTA($E$3258:E3270))</f>
        <v>12</v>
      </c>
      <c r="B3270" s="25" t="s">
        <v>3207</v>
      </c>
      <c r="C3270" s="21" t="s">
        <v>1745</v>
      </c>
      <c r="D3270" s="43" t="s">
        <v>3072</v>
      </c>
      <c r="E3270" s="13">
        <f>2228000/1.1</f>
        <v>2025454.5454545452</v>
      </c>
      <c r="F3270" s="179">
        <f>2392000/1.1</f>
        <v>2174545.4545454546</v>
      </c>
      <c r="G3270" s="196">
        <f t="shared" si="73"/>
        <v>-0.0736086175942551</v>
      </c>
      <c r="H3270" s="247"/>
    </row>
    <row r="3271" spans="1:8" ht="49.5">
      <c r="A3271" s="3">
        <f>IF(E3271="","",COUNTA($E$3258:E3271))</f>
        <v>13</v>
      </c>
      <c r="B3271" s="25" t="s">
        <v>3073</v>
      </c>
      <c r="C3271" s="21" t="s">
        <v>1745</v>
      </c>
      <c r="D3271" s="43" t="s">
        <v>3072</v>
      </c>
      <c r="E3271" s="13">
        <f>2511000/1.1</f>
        <v>2282727.2727272725</v>
      </c>
      <c r="F3271" s="179">
        <f>2511000/1.1</f>
        <v>2282727.2727272725</v>
      </c>
      <c r="G3271" s="196">
        <f t="shared" si="73"/>
        <v>0</v>
      </c>
      <c r="H3271" s="247"/>
    </row>
    <row r="3272" spans="1:8" ht="16.5">
      <c r="A3272" s="3">
        <f>IF(E3272="","",COUNTA($E$3258:E3272))</f>
      </c>
      <c r="B3272" s="34" t="s">
        <v>3074</v>
      </c>
      <c r="D3272" s="43"/>
      <c r="E3272" s="13"/>
      <c r="F3272" s="13"/>
      <c r="G3272" s="196"/>
      <c r="H3272" s="247"/>
    </row>
    <row r="3273" spans="1:8" ht="49.5">
      <c r="A3273" s="3">
        <f>IF(E3273="","",COUNTA($E$3258:E3273))</f>
        <v>14</v>
      </c>
      <c r="B3273" s="25" t="s">
        <v>3077</v>
      </c>
      <c r="C3273" s="21" t="s">
        <v>1745</v>
      </c>
      <c r="D3273" s="43" t="s">
        <v>3072</v>
      </c>
      <c r="E3273" s="13">
        <f>1552000/1.1</f>
        <v>1410909.0909090908</v>
      </c>
      <c r="F3273" s="179">
        <f>1552000/1.1</f>
        <v>1410909.0909090908</v>
      </c>
      <c r="G3273" s="196">
        <f t="shared" si="73"/>
        <v>0</v>
      </c>
      <c r="H3273" s="247"/>
    </row>
    <row r="3274" spans="1:8" ht="66">
      <c r="A3274" s="3">
        <f>IF(E3274="","",COUNTA($E$3258:E3274))</f>
        <v>15</v>
      </c>
      <c r="B3274" s="25" t="s">
        <v>3075</v>
      </c>
      <c r="C3274" s="21" t="s">
        <v>1745</v>
      </c>
      <c r="D3274" s="43" t="s">
        <v>3072</v>
      </c>
      <c r="E3274" s="13">
        <f>2308000/1.1</f>
        <v>2098181.818181818</v>
      </c>
      <c r="F3274" s="179">
        <f>2308000/1.1</f>
        <v>2098181.818181818</v>
      </c>
      <c r="G3274" s="196">
        <f t="shared" si="73"/>
        <v>0</v>
      </c>
      <c r="H3274" s="247"/>
    </row>
    <row r="3275" spans="1:8" ht="66">
      <c r="A3275" s="3">
        <f>IF(E3275="","",COUNTA($E$3258:E3275))</f>
        <v>16</v>
      </c>
      <c r="B3275" s="25" t="s">
        <v>3078</v>
      </c>
      <c r="C3275" s="21" t="s">
        <v>1745</v>
      </c>
      <c r="D3275" s="43" t="s">
        <v>3072</v>
      </c>
      <c r="E3275" s="13">
        <f>2157000/1.1</f>
        <v>1960909.0909090908</v>
      </c>
      <c r="F3275" s="179">
        <f>2157000/1.1</f>
        <v>1960909.0909090908</v>
      </c>
      <c r="G3275" s="196">
        <f t="shared" si="73"/>
        <v>0</v>
      </c>
      <c r="H3275" s="247"/>
    </row>
    <row r="3276" spans="1:8" ht="66">
      <c r="A3276" s="3">
        <f>IF(E3276="","",COUNTA($E$3258:E3276))</f>
        <v>17</v>
      </c>
      <c r="B3276" s="25" t="s">
        <v>3076</v>
      </c>
      <c r="C3276" s="21" t="s">
        <v>1745</v>
      </c>
      <c r="D3276" s="43" t="s">
        <v>3072</v>
      </c>
      <c r="E3276" s="13">
        <f>2998000/1.1</f>
        <v>2725454.5454545454</v>
      </c>
      <c r="F3276" s="179">
        <f>2998000/1.1</f>
        <v>2725454.5454545454</v>
      </c>
      <c r="G3276" s="196">
        <f t="shared" si="73"/>
        <v>0</v>
      </c>
      <c r="H3276" s="247"/>
    </row>
    <row r="3277" spans="1:8" ht="16.5">
      <c r="A3277" s="3"/>
      <c r="B3277" s="34" t="s">
        <v>3080</v>
      </c>
      <c r="D3277" s="43"/>
      <c r="E3277" s="13"/>
      <c r="F3277" s="13"/>
      <c r="G3277" s="196"/>
      <c r="H3277" s="247"/>
    </row>
    <row r="3278" spans="1:8" ht="49.5">
      <c r="A3278" s="3">
        <f>IF(E3278="","",COUNTA($E$3258:E3278))</f>
        <v>18</v>
      </c>
      <c r="B3278" s="25" t="s">
        <v>369</v>
      </c>
      <c r="C3278" s="21" t="s">
        <v>1498</v>
      </c>
      <c r="D3278" s="43" t="s">
        <v>718</v>
      </c>
      <c r="E3278" s="13">
        <f>31537000/1.1</f>
        <v>28669999.999999996</v>
      </c>
      <c r="F3278" s="13">
        <f>31537000/1.1</f>
        <v>28669999.999999996</v>
      </c>
      <c r="G3278" s="196">
        <f>(E3278-F3278)/E3278</f>
        <v>0</v>
      </c>
      <c r="H3278" s="247"/>
    </row>
    <row r="3279" spans="1:8" ht="39.75" customHeight="1">
      <c r="A3279" s="3">
        <f>IF(E3279="","",COUNTA($E$3258:E3279))</f>
        <v>19</v>
      </c>
      <c r="B3279" s="25" t="s">
        <v>370</v>
      </c>
      <c r="C3279" s="21" t="s">
        <v>1498</v>
      </c>
      <c r="D3279" s="43" t="s">
        <v>718</v>
      </c>
      <c r="E3279" s="13">
        <f>34998000/1.1</f>
        <v>31816363.636363633</v>
      </c>
      <c r="F3279" s="13">
        <f>34998000/1.1</f>
        <v>31816363.636363633</v>
      </c>
      <c r="G3279" s="196">
        <f>(E3279-F3279)/E3279</f>
        <v>0</v>
      </c>
      <c r="H3279" s="247"/>
    </row>
    <row r="4093" ht="16.5"/>
    <row r="4094" ht="16.5"/>
    <row r="4095" ht="16.5"/>
    <row r="4096" ht="16.5"/>
    <row r="4097" ht="16.5"/>
    <row r="4098" ht="16.5"/>
    <row r="4099" ht="16.5"/>
    <row r="4100" ht="16.5"/>
    <row r="4101" ht="16.5"/>
    <row r="4102" ht="16.5"/>
    <row r="4103" ht="16.5"/>
    <row r="4104" ht="16.5"/>
    <row r="4105" ht="16.5"/>
    <row r="4106" ht="16.5"/>
    <row r="4107" ht="16.5"/>
    <row r="4108" ht="16.5"/>
    <row r="4109" ht="16.5"/>
    <row r="4110" ht="16.5"/>
    <row r="4111" ht="16.5"/>
    <row r="4112" ht="16.5"/>
    <row r="4113" ht="16.5"/>
    <row r="4114" ht="16.5"/>
    <row r="4115" ht="16.5"/>
    <row r="4116" ht="16.5"/>
    <row r="4117" ht="16.5"/>
    <row r="4118" ht="16.5"/>
    <row r="4119" ht="16.5"/>
    <row r="4120" ht="16.5"/>
    <row r="4121" ht="16.5"/>
    <row r="4122" ht="16.5"/>
    <row r="4123" ht="16.5"/>
    <row r="4124" ht="16.5"/>
    <row r="4125" ht="16.5"/>
    <row r="4126" ht="16.5"/>
    <row r="4127" ht="16.5"/>
    <row r="4128" ht="16.5"/>
    <row r="4129" ht="16.5"/>
    <row r="4130" ht="16.5"/>
    <row r="4131" ht="16.5"/>
    <row r="4132" ht="16.5"/>
    <row r="4133" ht="16.5"/>
  </sheetData>
  <sheetProtection/>
  <mergeCells count="213">
    <mergeCell ref="H6:H7"/>
    <mergeCell ref="A11:H11"/>
    <mergeCell ref="D603:D606"/>
    <mergeCell ref="D608:D615"/>
    <mergeCell ref="D2949:D2951"/>
    <mergeCell ref="H3233:H3246"/>
    <mergeCell ref="H3075:H3156"/>
    <mergeCell ref="D3076:D3100"/>
    <mergeCell ref="D3101:D3117"/>
    <mergeCell ref="D3118:D3125"/>
    <mergeCell ref="D1501:D1508"/>
    <mergeCell ref="D3126:D3144"/>
    <mergeCell ref="D3145:D3156"/>
    <mergeCell ref="H2996:H3003"/>
    <mergeCell ref="H689:H700"/>
    <mergeCell ref="H701:H708"/>
    <mergeCell ref="H778:H787"/>
    <mergeCell ref="H1003:H1086"/>
    <mergeCell ref="H959:H980"/>
    <mergeCell ref="D1244:D1247"/>
    <mergeCell ref="D1651:D1656"/>
    <mergeCell ref="H842:H866"/>
    <mergeCell ref="H867:H878"/>
    <mergeCell ref="H879:H885"/>
    <mergeCell ref="H982:H1001"/>
    <mergeCell ref="H1432:H1775"/>
    <mergeCell ref="D996:D997"/>
    <mergeCell ref="D1766:D1775"/>
    <mergeCell ref="D1004:D1006"/>
    <mergeCell ref="D998:D999"/>
    <mergeCell ref="D1000:D1001"/>
    <mergeCell ref="D993:D994"/>
    <mergeCell ref="D1013:D1014"/>
    <mergeCell ref="D1036:D1038"/>
    <mergeCell ref="H2645:H2721"/>
    <mergeCell ref="H1776:H1790"/>
    <mergeCell ref="H1791:H1804"/>
    <mergeCell ref="H1087:H1094"/>
    <mergeCell ref="D1526:D1529"/>
    <mergeCell ref="D1033:D1034"/>
    <mergeCell ref="H2911:H2920"/>
    <mergeCell ref="H1249:H1313"/>
    <mergeCell ref="D1454:D1455"/>
    <mergeCell ref="H2854:H2910"/>
    <mergeCell ref="H1805:H1967"/>
    <mergeCell ref="D1447:D1452"/>
    <mergeCell ref="D1065:D1067"/>
    <mergeCell ref="D1469:D1477"/>
    <mergeCell ref="H1231:H1247"/>
    <mergeCell ref="H2921:H2928"/>
    <mergeCell ref="D1691:D1696"/>
    <mergeCell ref="D1678:D1689"/>
    <mergeCell ref="D1658:D1663"/>
    <mergeCell ref="D2865:D2870"/>
    <mergeCell ref="D1712:D1717"/>
    <mergeCell ref="H1968:H1991"/>
    <mergeCell ref="D1698:D1703"/>
    <mergeCell ref="D2952:D2955"/>
    <mergeCell ref="H2929:H2995"/>
    <mergeCell ref="H2623:H2644"/>
    <mergeCell ref="D2946:D2948"/>
    <mergeCell ref="H2104:H2354"/>
    <mergeCell ref="D1742:D1753"/>
    <mergeCell ref="D2942:D2945"/>
    <mergeCell ref="D2885:D2890"/>
    <mergeCell ref="D2892:D2896"/>
    <mergeCell ref="D2898:D2903"/>
    <mergeCell ref="H3248:H3254"/>
    <mergeCell ref="H3157:H3232"/>
    <mergeCell ref="D2959:D2964"/>
    <mergeCell ref="D1433:D1438"/>
    <mergeCell ref="D1440:D1445"/>
    <mergeCell ref="D1510:D1513"/>
    <mergeCell ref="D2337:D2348"/>
    <mergeCell ref="D2105:D2174"/>
    <mergeCell ref="D1625:D1632"/>
    <mergeCell ref="D1607:D1615"/>
    <mergeCell ref="D990:D991"/>
    <mergeCell ref="D985:D986"/>
    <mergeCell ref="H3257:H3279"/>
    <mergeCell ref="H2021:H2103"/>
    <mergeCell ref="D2994:D2995"/>
    <mergeCell ref="D2350:D2354"/>
    <mergeCell ref="D2176:D2298"/>
    <mergeCell ref="D2978:D2984"/>
    <mergeCell ref="D2986:D2991"/>
    <mergeCell ref="D2300:D2335"/>
    <mergeCell ref="H320:H424"/>
    <mergeCell ref="H1096:H1130"/>
    <mergeCell ref="H1314:H1431"/>
    <mergeCell ref="D1055:D1059"/>
    <mergeCell ref="D1073:D1077"/>
    <mergeCell ref="D1078:D1082"/>
    <mergeCell ref="H1131:H1230"/>
    <mergeCell ref="D1015:D1018"/>
    <mergeCell ref="H788:H797"/>
    <mergeCell ref="D1040:D1044"/>
    <mergeCell ref="H171:H174"/>
    <mergeCell ref="H446:H447"/>
    <mergeCell ref="H244:H270"/>
    <mergeCell ref="H625:H642"/>
    <mergeCell ref="H271:H319"/>
    <mergeCell ref="H179:H194"/>
    <mergeCell ref="H520:H539"/>
    <mergeCell ref="H213:H236"/>
    <mergeCell ref="H195:H199"/>
    <mergeCell ref="H238:H243"/>
    <mergeCell ref="H168:H169"/>
    <mergeCell ref="H165:H166"/>
    <mergeCell ref="H124:H131"/>
    <mergeCell ref="H31:H35"/>
    <mergeCell ref="H107:H115"/>
    <mergeCell ref="H116:H123"/>
    <mergeCell ref="H59:H89"/>
    <mergeCell ref="H162:H164"/>
    <mergeCell ref="H37:H46"/>
    <mergeCell ref="A1:H1"/>
    <mergeCell ref="H90:H99"/>
    <mergeCell ref="H100:H106"/>
    <mergeCell ref="H47:H57"/>
    <mergeCell ref="H27:H30"/>
    <mergeCell ref="H14:H16"/>
    <mergeCell ref="H19:H22"/>
    <mergeCell ref="H23:H26"/>
    <mergeCell ref="B6:B7"/>
    <mergeCell ref="A6:A7"/>
    <mergeCell ref="D550:D559"/>
    <mergeCell ref="D560:D569"/>
    <mergeCell ref="D540:D549"/>
    <mergeCell ref="H709:H728"/>
    <mergeCell ref="H540:H569"/>
    <mergeCell ref="H643:H660"/>
    <mergeCell ref="H570:H623"/>
    <mergeCell ref="D600:D601"/>
    <mergeCell ref="D622:D623"/>
    <mergeCell ref="H661:H676"/>
    <mergeCell ref="D983:D984"/>
    <mergeCell ref="H746:H755"/>
    <mergeCell ref="H729:H735"/>
    <mergeCell ref="H677:H688"/>
    <mergeCell ref="H756:H764"/>
    <mergeCell ref="H822:H831"/>
    <mergeCell ref="H765:H777"/>
    <mergeCell ref="H736:H745"/>
    <mergeCell ref="H894:H902"/>
    <mergeCell ref="H832:H841"/>
    <mergeCell ref="H203:H212"/>
    <mergeCell ref="D987:D988"/>
    <mergeCell ref="H454:H518"/>
    <mergeCell ref="H425:H441"/>
    <mergeCell ref="H443:H445"/>
    <mergeCell ref="D179:D188"/>
    <mergeCell ref="D189:D194"/>
    <mergeCell ref="D590:D592"/>
    <mergeCell ref="D574:D588"/>
    <mergeCell ref="D594:D596"/>
    <mergeCell ref="H3030:H3074"/>
    <mergeCell ref="H1992:H2020"/>
    <mergeCell ref="D2879:D2881"/>
    <mergeCell ref="D2992:D2993"/>
    <mergeCell ref="D2935:D2940"/>
    <mergeCell ref="D2930:D2934"/>
    <mergeCell ref="D2965:D2977"/>
    <mergeCell ref="H3005:H3029"/>
    <mergeCell ref="D2956:D2958"/>
    <mergeCell ref="D2873:D2877"/>
    <mergeCell ref="D1634:D1642"/>
    <mergeCell ref="D1665:D1676"/>
    <mergeCell ref="H2355:H2622"/>
    <mergeCell ref="D1644:D1649"/>
    <mergeCell ref="H2722:H2725"/>
    <mergeCell ref="D2723:D2725"/>
    <mergeCell ref="D1719:D1730"/>
    <mergeCell ref="D1008:D1012"/>
    <mergeCell ref="D1498:D1499"/>
    <mergeCell ref="D1617:D1623"/>
    <mergeCell ref="D1535:D1605"/>
    <mergeCell ref="D1232:D1241"/>
    <mergeCell ref="D1045:D1046"/>
    <mergeCell ref="D1047:D1050"/>
    <mergeCell ref="D1029:D1032"/>
    <mergeCell ref="D1488:D1496"/>
    <mergeCell ref="D1519:D1524"/>
    <mergeCell ref="H2727:H2853"/>
    <mergeCell ref="H798:H810"/>
    <mergeCell ref="H811:H821"/>
    <mergeCell ref="D959:D980"/>
    <mergeCell ref="D1060:D1064"/>
    <mergeCell ref="D1052:D1054"/>
    <mergeCell ref="H886:H893"/>
    <mergeCell ref="D1083:D1085"/>
    <mergeCell ref="D1024:D1028"/>
    <mergeCell ref="D1020:D1022"/>
    <mergeCell ref="D2905:D2910"/>
    <mergeCell ref="D1070:D1072"/>
    <mergeCell ref="D1732:D1740"/>
    <mergeCell ref="D1479:D1486"/>
    <mergeCell ref="D1457:D1462"/>
    <mergeCell ref="D2859:D2863"/>
    <mergeCell ref="D1755:D1764"/>
    <mergeCell ref="D1705:D1710"/>
    <mergeCell ref="D2856:D2858"/>
    <mergeCell ref="D1464:D1467"/>
    <mergeCell ref="I2722:I2725"/>
    <mergeCell ref="H941:H949"/>
    <mergeCell ref="H950:H956"/>
    <mergeCell ref="H145:H152"/>
    <mergeCell ref="H133:H144"/>
    <mergeCell ref="H153:H160"/>
    <mergeCell ref="H449:H453"/>
    <mergeCell ref="H175:H177"/>
    <mergeCell ref="H933:H940"/>
    <mergeCell ref="H903:H932"/>
  </mergeCells>
  <printOptions horizontalCentered="1"/>
  <pageMargins left="0.3" right="0.3" top="0.5" bottom="0.6" header="0.3" footer="0.3"/>
  <pageSetup fitToHeight="0" horizontalDpi="600" verticalDpi="600" orientation="portrait" paperSize="9" scale="62" r:id="rId3"/>
  <headerFooter>
    <oddHeader>&amp;C &amp;P</oddHeader>
    <oddFooter>&amp;C&amp;"Times New Roman,Bold"&amp;10Ghi chú:&amp;"Times New Roman,Regular" Trường hợp các đơn vị không gửi Văn bản đề nghị duy trì hoặc điều chỉnh công bố giá các loại VLXD, vật tư thiết bị,  Sở XD sẽ xem xét gỡ bỏ thông tin và giá ra khỏi Công bố giá</oddFooter>
  </headerFooter>
  <legacyDrawing r:id="rId2"/>
</worksheet>
</file>

<file path=xl/worksheets/sheet2.xml><?xml version="1.0" encoding="utf-8"?>
<worksheet xmlns="http://schemas.openxmlformats.org/spreadsheetml/2006/main" xmlns:r="http://schemas.openxmlformats.org/officeDocument/2006/relationships">
  <dimension ref="A2:H8"/>
  <sheetViews>
    <sheetView zoomScalePageLayoutView="0" workbookViewId="0" topLeftCell="A1">
      <selection activeCell="A2" sqref="A2:IV8"/>
    </sheetView>
  </sheetViews>
  <sheetFormatPr defaultColWidth="9.140625" defaultRowHeight="15"/>
  <sheetData>
    <row r="2" spans="1:8" s="191" customFormat="1" ht="27.75" customHeight="1">
      <c r="A2" s="189">
        <f>IF(E2="","",COUNTA($E2:E$1098))</f>
        <v>7</v>
      </c>
      <c r="B2" s="195" t="s">
        <v>13</v>
      </c>
      <c r="C2" s="194" t="s">
        <v>1135</v>
      </c>
      <c r="D2" s="234" t="s">
        <v>3232</v>
      </c>
      <c r="E2" s="192">
        <v>1560872</v>
      </c>
      <c r="F2" s="193"/>
      <c r="G2" s="190" t="e">
        <f>(E2-F2)/F2</f>
        <v>#DIV/0!</v>
      </c>
      <c r="H2" s="251" t="s">
        <v>3225</v>
      </c>
    </row>
    <row r="3" spans="1:8" s="191" customFormat="1" ht="27.75" customHeight="1">
      <c r="A3" s="189">
        <f>IF(E3="","",COUNTA($E3:E$1098))</f>
        <v>6</v>
      </c>
      <c r="B3" s="195" t="s">
        <v>3226</v>
      </c>
      <c r="C3" s="194" t="s">
        <v>1135</v>
      </c>
      <c r="D3" s="235"/>
      <c r="E3" s="192">
        <v>2056052</v>
      </c>
      <c r="F3" s="193"/>
      <c r="G3" s="190" t="e">
        <f aca="true" t="shared" si="0" ref="G3:G8">(E3-F3)/F3</f>
        <v>#DIV/0!</v>
      </c>
      <c r="H3" s="252"/>
    </row>
    <row r="4" spans="1:8" s="191" customFormat="1" ht="27.75" customHeight="1">
      <c r="A4" s="189">
        <f>IF(E4="","",COUNTA($E4:E$1098))</f>
        <v>5</v>
      </c>
      <c r="B4" s="195" t="s">
        <v>3227</v>
      </c>
      <c r="C4" s="194" t="s">
        <v>1135</v>
      </c>
      <c r="D4" s="235"/>
      <c r="E4" s="192">
        <v>2359930</v>
      </c>
      <c r="F4" s="193"/>
      <c r="G4" s="190" t="e">
        <f t="shared" si="0"/>
        <v>#DIV/0!</v>
      </c>
      <c r="H4" s="252"/>
    </row>
    <row r="5" spans="1:8" s="191" customFormat="1" ht="27.75" customHeight="1">
      <c r="A5" s="189">
        <f>IF(E5="","",COUNTA($E5:E$1098))</f>
        <v>4</v>
      </c>
      <c r="B5" s="195" t="s">
        <v>3228</v>
      </c>
      <c r="C5" s="194" t="s">
        <v>1135</v>
      </c>
      <c r="D5" s="235"/>
      <c r="E5" s="192">
        <v>2411867</v>
      </c>
      <c r="F5" s="193"/>
      <c r="G5" s="190" t="e">
        <f t="shared" si="0"/>
        <v>#DIV/0!</v>
      </c>
      <c r="H5" s="252"/>
    </row>
    <row r="6" spans="1:8" s="191" customFormat="1" ht="27.75" customHeight="1">
      <c r="A6" s="189">
        <f>IF(E6="","",COUNTA($E6:E$1098))</f>
        <v>3</v>
      </c>
      <c r="B6" s="195" t="s">
        <v>3229</v>
      </c>
      <c r="C6" s="194" t="s">
        <v>1135</v>
      </c>
      <c r="D6" s="235"/>
      <c r="E6" s="192">
        <v>2312262</v>
      </c>
      <c r="F6" s="193"/>
      <c r="G6" s="190" t="e">
        <f t="shared" si="0"/>
        <v>#DIV/0!</v>
      </c>
      <c r="H6" s="252"/>
    </row>
    <row r="7" spans="1:8" s="191" customFormat="1" ht="27.75" customHeight="1">
      <c r="A7" s="189">
        <f>IF(E7="","",COUNTA($E7:E$1098))</f>
        <v>2</v>
      </c>
      <c r="B7" s="195" t="s">
        <v>3230</v>
      </c>
      <c r="C7" s="194" t="s">
        <v>1135</v>
      </c>
      <c r="D7" s="235"/>
      <c r="E7" s="192">
        <v>2487757</v>
      </c>
      <c r="F7" s="193"/>
      <c r="G7" s="190" t="e">
        <f t="shared" si="0"/>
        <v>#DIV/0!</v>
      </c>
      <c r="H7" s="252"/>
    </row>
    <row r="8" spans="1:8" s="191" customFormat="1" ht="27.75" customHeight="1">
      <c r="A8" s="189">
        <f>IF(E8="","",COUNTA($E8:E$1098))</f>
        <v>1</v>
      </c>
      <c r="B8" s="195" t="s">
        <v>3231</v>
      </c>
      <c r="C8" s="194" t="s">
        <v>1135</v>
      </c>
      <c r="D8" s="236"/>
      <c r="E8" s="192">
        <v>2579062</v>
      </c>
      <c r="F8" s="193"/>
      <c r="G8" s="190" t="e">
        <f t="shared" si="0"/>
        <v>#DIV/0!</v>
      </c>
      <c r="H8" s="252"/>
    </row>
  </sheetData>
  <sheetProtection/>
  <mergeCells count="2">
    <mergeCell ref="D2:D8"/>
    <mergeCell ref="H2:H8"/>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2:BG479"/>
  <sheetViews>
    <sheetView zoomScale="70" zoomScaleNormal="70" zoomScalePageLayoutView="0" workbookViewId="0" topLeftCell="A1">
      <selection activeCell="K24" sqref="K24"/>
    </sheetView>
  </sheetViews>
  <sheetFormatPr defaultColWidth="9.140625" defaultRowHeight="15"/>
  <cols>
    <col min="1" max="1" width="9.140625" style="81" customWidth="1"/>
    <col min="2" max="2" width="62.57421875" style="81" bestFit="1" customWidth="1"/>
    <col min="3" max="3" width="7.7109375" style="81" bestFit="1" customWidth="1"/>
    <col min="4" max="4" width="24.421875" style="81" bestFit="1" customWidth="1"/>
    <col min="5" max="5" width="18.421875" style="81" bestFit="1" customWidth="1"/>
    <col min="6" max="6" width="16.00390625" style="81" bestFit="1" customWidth="1"/>
    <col min="7" max="7" width="13.140625" style="84" customWidth="1"/>
    <col min="8" max="10" width="9.140625" style="83" customWidth="1"/>
    <col min="11" max="11" width="11.421875" style="83" bestFit="1" customWidth="1"/>
    <col min="12" max="12" width="34.421875" style="83" customWidth="1"/>
    <col min="13" max="59" width="9.140625" style="83" customWidth="1"/>
    <col min="60" max="16384" width="9.140625" style="81" customWidth="1"/>
  </cols>
  <sheetData>
    <row r="1" ht="16.5"/>
    <row r="2" spans="1:7" ht="16.5">
      <c r="A2" s="20" t="s">
        <v>1151</v>
      </c>
      <c r="B2" s="20" t="s">
        <v>1152</v>
      </c>
      <c r="C2" s="20" t="s">
        <v>1153</v>
      </c>
      <c r="D2" s="20" t="s">
        <v>1154</v>
      </c>
      <c r="E2" s="20" t="s">
        <v>1155</v>
      </c>
      <c r="F2" s="20" t="s">
        <v>1156</v>
      </c>
      <c r="G2" s="82" t="s">
        <v>1157</v>
      </c>
    </row>
    <row r="3" spans="1:7" ht="16.5">
      <c r="A3" s="20" t="s">
        <v>977</v>
      </c>
      <c r="B3" s="20" t="s">
        <v>1049</v>
      </c>
      <c r="C3" s="20"/>
      <c r="D3" s="20"/>
      <c r="E3" s="2"/>
      <c r="G3" s="80"/>
    </row>
    <row r="4" spans="1:8" ht="16.5">
      <c r="A4" s="21">
        <v>1</v>
      </c>
      <c r="B4" s="22" t="s">
        <v>162</v>
      </c>
      <c r="C4" s="21" t="s">
        <v>1040</v>
      </c>
      <c r="D4" s="43" t="s">
        <v>163</v>
      </c>
      <c r="E4" s="85">
        <f>19000/1.1</f>
        <v>17272.727272727272</v>
      </c>
      <c r="F4" s="85">
        <f>18000/1.1</f>
        <v>16363.636363636362</v>
      </c>
      <c r="G4" s="127">
        <f>(F4-E4)/E4</f>
        <v>-0.052631578947368474</v>
      </c>
      <c r="H4" s="128">
        <f>MIN(G4:G13)</f>
        <v>-0.05319148936170208</v>
      </c>
    </row>
    <row r="5" spans="1:8" ht="16.5">
      <c r="A5" s="21">
        <v>2</v>
      </c>
      <c r="B5" s="22" t="s">
        <v>162</v>
      </c>
      <c r="C5" s="21" t="s">
        <v>1040</v>
      </c>
      <c r="D5" s="43" t="s">
        <v>164</v>
      </c>
      <c r="E5" s="85">
        <f>19200/1.1</f>
        <v>17454.545454545452</v>
      </c>
      <c r="F5" s="85">
        <f>18200/1.1</f>
        <v>16545.454545454544</v>
      </c>
      <c r="G5" s="127">
        <f aca="true" t="shared" si="0" ref="G5:G32">(F5-E5)/E5</f>
        <v>-0.05208333333333328</v>
      </c>
      <c r="H5" s="128">
        <f>MAX(G4:G13)</f>
        <v>-0.05208333333333328</v>
      </c>
    </row>
    <row r="6" spans="1:7" ht="16.5">
      <c r="A6" s="21">
        <v>3</v>
      </c>
      <c r="B6" s="22" t="s">
        <v>162</v>
      </c>
      <c r="C6" s="21" t="s">
        <v>1040</v>
      </c>
      <c r="D6" s="43" t="s">
        <v>165</v>
      </c>
      <c r="E6" s="85">
        <f>19100/1.1</f>
        <v>17363.636363636364</v>
      </c>
      <c r="F6" s="85">
        <f>18100/1.1</f>
        <v>16454.545454545452</v>
      </c>
      <c r="G6" s="127">
        <f t="shared" si="0"/>
        <v>-0.05235602094240853</v>
      </c>
    </row>
    <row r="7" spans="1:7" ht="16.5">
      <c r="A7" s="21">
        <v>4</v>
      </c>
      <c r="B7" s="22" t="s">
        <v>162</v>
      </c>
      <c r="C7" s="21" t="s">
        <v>1040</v>
      </c>
      <c r="D7" s="43" t="s">
        <v>176</v>
      </c>
      <c r="E7" s="85">
        <f>19000/1.1</f>
        <v>17272.727272727272</v>
      </c>
      <c r="F7" s="85">
        <f>18000/1.1</f>
        <v>16363.636363636362</v>
      </c>
      <c r="G7" s="127">
        <f t="shared" si="0"/>
        <v>-0.052631578947368474</v>
      </c>
    </row>
    <row r="8" spans="1:7" ht="16.5">
      <c r="A8" s="21">
        <v>5</v>
      </c>
      <c r="B8" s="22" t="s">
        <v>162</v>
      </c>
      <c r="C8" s="21" t="s">
        <v>1040</v>
      </c>
      <c r="D8" s="43" t="s">
        <v>177</v>
      </c>
      <c r="E8" s="85">
        <f>19100/1.1</f>
        <v>17363.636363636364</v>
      </c>
      <c r="F8" s="85">
        <f>18100/1.1</f>
        <v>16454.545454545452</v>
      </c>
      <c r="G8" s="127">
        <f t="shared" si="0"/>
        <v>-0.05235602094240853</v>
      </c>
    </row>
    <row r="9" spans="1:7" ht="16.5">
      <c r="A9" s="21">
        <v>6</v>
      </c>
      <c r="B9" s="22" t="s">
        <v>166</v>
      </c>
      <c r="C9" s="21" t="s">
        <v>1040</v>
      </c>
      <c r="D9" s="43" t="s">
        <v>163</v>
      </c>
      <c r="E9" s="85">
        <f>18800/1.1</f>
        <v>17090.90909090909</v>
      </c>
      <c r="F9" s="85">
        <f>17800/1.1</f>
        <v>16181.81818181818</v>
      </c>
      <c r="G9" s="127">
        <f t="shared" si="0"/>
        <v>-0.05319148936170208</v>
      </c>
    </row>
    <row r="10" spans="1:7" ht="16.5">
      <c r="A10" s="21">
        <v>7</v>
      </c>
      <c r="B10" s="22" t="s">
        <v>166</v>
      </c>
      <c r="C10" s="21" t="s">
        <v>1040</v>
      </c>
      <c r="D10" s="43" t="s">
        <v>164</v>
      </c>
      <c r="E10" s="85">
        <f>19100/1.1</f>
        <v>17363.636363636364</v>
      </c>
      <c r="F10" s="85">
        <f>18100/1.1</f>
        <v>16454.545454545452</v>
      </c>
      <c r="G10" s="127">
        <f t="shared" si="0"/>
        <v>-0.05235602094240853</v>
      </c>
    </row>
    <row r="11" spans="1:7" ht="16.5">
      <c r="A11" s="21">
        <v>8</v>
      </c>
      <c r="B11" s="22" t="s">
        <v>166</v>
      </c>
      <c r="C11" s="21" t="s">
        <v>1040</v>
      </c>
      <c r="D11" s="43" t="s">
        <v>165</v>
      </c>
      <c r="E11" s="85">
        <f>19000/1.1</f>
        <v>17272.727272727272</v>
      </c>
      <c r="F11" s="85">
        <f>18000/1.1</f>
        <v>16363.636363636362</v>
      </c>
      <c r="G11" s="127">
        <f t="shared" si="0"/>
        <v>-0.052631578947368474</v>
      </c>
    </row>
    <row r="12" spans="1:7" ht="16.5">
      <c r="A12" s="21">
        <v>9</v>
      </c>
      <c r="B12" s="22" t="s">
        <v>166</v>
      </c>
      <c r="C12" s="21" t="s">
        <v>1040</v>
      </c>
      <c r="D12" s="43" t="s">
        <v>176</v>
      </c>
      <c r="E12" s="85">
        <f>18800/1.1</f>
        <v>17090.90909090909</v>
      </c>
      <c r="F12" s="85">
        <f>17800/1.1</f>
        <v>16181.81818181818</v>
      </c>
      <c r="G12" s="127">
        <f t="shared" si="0"/>
        <v>-0.05319148936170208</v>
      </c>
    </row>
    <row r="13" spans="1:7" ht="16.5">
      <c r="A13" s="21">
        <v>10</v>
      </c>
      <c r="B13" s="22" t="s">
        <v>166</v>
      </c>
      <c r="C13" s="21" t="s">
        <v>1040</v>
      </c>
      <c r="D13" s="43" t="s">
        <v>177</v>
      </c>
      <c r="E13" s="85">
        <f>19000/1.1</f>
        <v>17272.727272727272</v>
      </c>
      <c r="F13" s="85">
        <f>18000/1.1</f>
        <v>16363.636363636362</v>
      </c>
      <c r="G13" s="127">
        <f t="shared" si="0"/>
        <v>-0.052631578947368474</v>
      </c>
    </row>
    <row r="14" spans="1:59" s="132" customFormat="1" ht="16.5">
      <c r="A14" s="120">
        <v>11</v>
      </c>
      <c r="B14" s="119" t="s">
        <v>1041</v>
      </c>
      <c r="C14" s="120" t="s">
        <v>1040</v>
      </c>
      <c r="D14" s="121" t="s">
        <v>1065</v>
      </c>
      <c r="E14" s="122">
        <v>14950</v>
      </c>
      <c r="F14" s="122">
        <v>15300</v>
      </c>
      <c r="G14" s="130">
        <f t="shared" si="0"/>
        <v>0.023411371237458192</v>
      </c>
      <c r="H14" s="131"/>
      <c r="I14" s="131"/>
      <c r="J14" s="131"/>
      <c r="K14" s="131"/>
      <c r="L14" s="131"/>
      <c r="M14" s="131"/>
      <c r="N14" s="131"/>
      <c r="O14" s="131"/>
      <c r="P14" s="131"/>
      <c r="Q14" s="131"/>
      <c r="R14" s="131"/>
      <c r="S14" s="131"/>
      <c r="T14" s="131"/>
      <c r="U14" s="131"/>
      <c r="V14" s="131"/>
      <c r="W14" s="131"/>
      <c r="X14" s="131"/>
      <c r="Y14" s="131"/>
      <c r="Z14" s="131"/>
      <c r="AA14" s="131"/>
      <c r="AB14" s="131"/>
      <c r="AC14" s="131"/>
      <c r="AD14" s="131"/>
      <c r="AE14" s="131"/>
      <c r="AF14" s="131"/>
      <c r="AG14" s="131"/>
      <c r="AH14" s="131"/>
      <c r="AI14" s="131"/>
      <c r="AJ14" s="131"/>
      <c r="AK14" s="131"/>
      <c r="AL14" s="131"/>
      <c r="AM14" s="131"/>
      <c r="AN14" s="131"/>
      <c r="AO14" s="131"/>
      <c r="AP14" s="131"/>
      <c r="AQ14" s="131"/>
      <c r="AR14" s="131"/>
      <c r="AS14" s="131"/>
      <c r="AT14" s="131"/>
      <c r="AU14" s="131"/>
      <c r="AV14" s="131"/>
      <c r="AW14" s="131"/>
      <c r="AX14" s="131"/>
      <c r="AY14" s="131"/>
      <c r="AZ14" s="131"/>
      <c r="BA14" s="131"/>
      <c r="BB14" s="131"/>
      <c r="BC14" s="131"/>
      <c r="BD14" s="131"/>
      <c r="BE14" s="131"/>
      <c r="BF14" s="131"/>
      <c r="BG14" s="131"/>
    </row>
    <row r="15" spans="1:59" s="132" customFormat="1" ht="16.5">
      <c r="A15" s="120">
        <v>12</v>
      </c>
      <c r="B15" s="119" t="s">
        <v>1042</v>
      </c>
      <c r="C15" s="120" t="s">
        <v>1040</v>
      </c>
      <c r="D15" s="121" t="s">
        <v>1066</v>
      </c>
      <c r="E15" s="122">
        <v>15550</v>
      </c>
      <c r="F15" s="122">
        <v>15700</v>
      </c>
      <c r="G15" s="130">
        <f t="shared" si="0"/>
        <v>0.00964630225080386</v>
      </c>
      <c r="H15" s="133">
        <f>MIN(G14:G20)</f>
        <v>0.00946372239747634</v>
      </c>
      <c r="I15" s="131"/>
      <c r="J15" s="131"/>
      <c r="K15" s="131"/>
      <c r="L15" s="131"/>
      <c r="M15" s="131"/>
      <c r="N15" s="131"/>
      <c r="O15" s="131"/>
      <c r="P15" s="131"/>
      <c r="Q15" s="131"/>
      <c r="R15" s="131"/>
      <c r="S15" s="131"/>
      <c r="T15" s="131"/>
      <c r="U15" s="131"/>
      <c r="V15" s="131"/>
      <c r="W15" s="131"/>
      <c r="X15" s="131"/>
      <c r="Y15" s="131"/>
      <c r="Z15" s="131"/>
      <c r="AA15" s="131"/>
      <c r="AB15" s="131"/>
      <c r="AC15" s="131"/>
      <c r="AD15" s="131"/>
      <c r="AE15" s="131"/>
      <c r="AF15" s="131"/>
      <c r="AG15" s="131"/>
      <c r="AH15" s="131"/>
      <c r="AI15" s="131"/>
      <c r="AJ15" s="131"/>
      <c r="AK15" s="131"/>
      <c r="AL15" s="131"/>
      <c r="AM15" s="131"/>
      <c r="AN15" s="131"/>
      <c r="AO15" s="131"/>
      <c r="AP15" s="131"/>
      <c r="AQ15" s="131"/>
      <c r="AR15" s="131"/>
      <c r="AS15" s="131"/>
      <c r="AT15" s="131"/>
      <c r="AU15" s="131"/>
      <c r="AV15" s="131"/>
      <c r="AW15" s="131"/>
      <c r="AX15" s="131"/>
      <c r="AY15" s="131"/>
      <c r="AZ15" s="131"/>
      <c r="BA15" s="131"/>
      <c r="BB15" s="131"/>
      <c r="BC15" s="131"/>
      <c r="BD15" s="131"/>
      <c r="BE15" s="131"/>
      <c r="BF15" s="131"/>
      <c r="BG15" s="131"/>
    </row>
    <row r="16" spans="1:59" s="132" customFormat="1" ht="16.5">
      <c r="A16" s="120">
        <v>13</v>
      </c>
      <c r="B16" s="119" t="s">
        <v>1043</v>
      </c>
      <c r="C16" s="120" t="s">
        <v>1040</v>
      </c>
      <c r="D16" s="121" t="s">
        <v>1067</v>
      </c>
      <c r="E16" s="122">
        <v>15350</v>
      </c>
      <c r="F16" s="122">
        <v>15500</v>
      </c>
      <c r="G16" s="130">
        <f t="shared" si="0"/>
        <v>0.009771986970684038</v>
      </c>
      <c r="H16" s="133">
        <f>MAX(G14:G20)</f>
        <v>0.023411371237458192</v>
      </c>
      <c r="I16" s="131"/>
      <c r="J16" s="131"/>
      <c r="K16" s="131"/>
      <c r="L16" s="131"/>
      <c r="M16" s="131"/>
      <c r="N16" s="131"/>
      <c r="O16" s="131"/>
      <c r="P16" s="131"/>
      <c r="Q16" s="131"/>
      <c r="R16" s="131"/>
      <c r="S16" s="131"/>
      <c r="T16" s="131"/>
      <c r="U16" s="131"/>
      <c r="V16" s="131"/>
      <c r="W16" s="131"/>
      <c r="X16" s="131"/>
      <c r="Y16" s="131"/>
      <c r="Z16" s="131"/>
      <c r="AA16" s="131"/>
      <c r="AB16" s="131"/>
      <c r="AC16" s="131"/>
      <c r="AD16" s="131"/>
      <c r="AE16" s="131"/>
      <c r="AF16" s="131"/>
      <c r="AG16" s="131"/>
      <c r="AH16" s="131"/>
      <c r="AI16" s="131"/>
      <c r="AJ16" s="131"/>
      <c r="AK16" s="131"/>
      <c r="AL16" s="131"/>
      <c r="AM16" s="131"/>
      <c r="AN16" s="131"/>
      <c r="AO16" s="131"/>
      <c r="AP16" s="131"/>
      <c r="AQ16" s="131"/>
      <c r="AR16" s="131"/>
      <c r="AS16" s="131"/>
      <c r="AT16" s="131"/>
      <c r="AU16" s="131"/>
      <c r="AV16" s="131"/>
      <c r="AW16" s="131"/>
      <c r="AX16" s="131"/>
      <c r="AY16" s="131"/>
      <c r="AZ16" s="131"/>
      <c r="BA16" s="131"/>
      <c r="BB16" s="131"/>
      <c r="BC16" s="131"/>
      <c r="BD16" s="131"/>
      <c r="BE16" s="131"/>
      <c r="BF16" s="131"/>
      <c r="BG16" s="131"/>
    </row>
    <row r="17" spans="1:59" s="132" customFormat="1" ht="16.5">
      <c r="A17" s="120">
        <v>14</v>
      </c>
      <c r="B17" s="119" t="s">
        <v>1044</v>
      </c>
      <c r="C17" s="120" t="s">
        <v>1040</v>
      </c>
      <c r="D17" s="121" t="s">
        <v>1068</v>
      </c>
      <c r="E17" s="122">
        <v>15750</v>
      </c>
      <c r="F17" s="122">
        <v>15900</v>
      </c>
      <c r="G17" s="130">
        <f t="shared" si="0"/>
        <v>0.009523809523809525</v>
      </c>
      <c r="H17" s="131"/>
      <c r="I17" s="131"/>
      <c r="J17" s="131"/>
      <c r="K17" s="131"/>
      <c r="L17" s="131"/>
      <c r="M17" s="131"/>
      <c r="N17" s="131"/>
      <c r="O17" s="131"/>
      <c r="P17" s="131"/>
      <c r="Q17" s="131"/>
      <c r="R17" s="131"/>
      <c r="S17" s="131"/>
      <c r="T17" s="131"/>
      <c r="U17" s="131"/>
      <c r="V17" s="131"/>
      <c r="W17" s="131"/>
      <c r="X17" s="131"/>
      <c r="Y17" s="131"/>
      <c r="Z17" s="131"/>
      <c r="AA17" s="131"/>
      <c r="AB17" s="131"/>
      <c r="AC17" s="131"/>
      <c r="AD17" s="131"/>
      <c r="AE17" s="131"/>
      <c r="AF17" s="131"/>
      <c r="AG17" s="131"/>
      <c r="AH17" s="131"/>
      <c r="AI17" s="131"/>
      <c r="AJ17" s="131"/>
      <c r="AK17" s="131"/>
      <c r="AL17" s="131"/>
      <c r="AM17" s="131"/>
      <c r="AN17" s="131"/>
      <c r="AO17" s="131"/>
      <c r="AP17" s="131"/>
      <c r="AQ17" s="131"/>
      <c r="AR17" s="131"/>
      <c r="AS17" s="131"/>
      <c r="AT17" s="131"/>
      <c r="AU17" s="131"/>
      <c r="AV17" s="131"/>
      <c r="AW17" s="131"/>
      <c r="AX17" s="131"/>
      <c r="AY17" s="131"/>
      <c r="AZ17" s="131"/>
      <c r="BA17" s="131"/>
      <c r="BB17" s="131"/>
      <c r="BC17" s="131"/>
      <c r="BD17" s="131"/>
      <c r="BE17" s="131"/>
      <c r="BF17" s="131"/>
      <c r="BG17" s="131"/>
    </row>
    <row r="18" spans="1:59" s="132" customFormat="1" ht="16.5">
      <c r="A18" s="120">
        <v>15</v>
      </c>
      <c r="B18" s="119" t="s">
        <v>1045</v>
      </c>
      <c r="C18" s="120" t="s">
        <v>1040</v>
      </c>
      <c r="D18" s="121" t="s">
        <v>1069</v>
      </c>
      <c r="E18" s="122">
        <v>15550</v>
      </c>
      <c r="F18" s="122">
        <v>15700</v>
      </c>
      <c r="G18" s="130">
        <f t="shared" si="0"/>
        <v>0.00964630225080386</v>
      </c>
      <c r="H18" s="131"/>
      <c r="I18" s="131"/>
      <c r="J18" s="131"/>
      <c r="K18" s="131"/>
      <c r="L18" s="131"/>
      <c r="M18" s="131"/>
      <c r="N18" s="131"/>
      <c r="O18" s="131"/>
      <c r="P18" s="131"/>
      <c r="Q18" s="131"/>
      <c r="R18" s="131"/>
      <c r="S18" s="131"/>
      <c r="T18" s="131"/>
      <c r="U18" s="131"/>
      <c r="V18" s="131"/>
      <c r="W18" s="131"/>
      <c r="X18" s="131"/>
      <c r="Y18" s="131"/>
      <c r="Z18" s="131"/>
      <c r="AA18" s="131"/>
      <c r="AB18" s="131"/>
      <c r="AC18" s="131"/>
      <c r="AD18" s="131"/>
      <c r="AE18" s="131"/>
      <c r="AF18" s="131"/>
      <c r="AG18" s="131"/>
      <c r="AH18" s="131"/>
      <c r="AI18" s="131"/>
      <c r="AJ18" s="131"/>
      <c r="AK18" s="131"/>
      <c r="AL18" s="131"/>
      <c r="AM18" s="131"/>
      <c r="AN18" s="131"/>
      <c r="AO18" s="131"/>
      <c r="AP18" s="131"/>
      <c r="AQ18" s="131"/>
      <c r="AR18" s="131"/>
      <c r="AS18" s="131"/>
      <c r="AT18" s="131"/>
      <c r="AU18" s="131"/>
      <c r="AV18" s="131"/>
      <c r="AW18" s="131"/>
      <c r="AX18" s="131"/>
      <c r="AY18" s="131"/>
      <c r="AZ18" s="131"/>
      <c r="BA18" s="131"/>
      <c r="BB18" s="131"/>
      <c r="BC18" s="131"/>
      <c r="BD18" s="131"/>
      <c r="BE18" s="131"/>
      <c r="BF18" s="131"/>
      <c r="BG18" s="131"/>
    </row>
    <row r="19" spans="1:59" s="132" customFormat="1" ht="16.5">
      <c r="A19" s="120">
        <v>16</v>
      </c>
      <c r="B19" s="119" t="s">
        <v>1046</v>
      </c>
      <c r="C19" s="120" t="s">
        <v>1040</v>
      </c>
      <c r="D19" s="121" t="s">
        <v>1070</v>
      </c>
      <c r="E19" s="122">
        <v>15850</v>
      </c>
      <c r="F19" s="122">
        <v>16000</v>
      </c>
      <c r="G19" s="130">
        <f t="shared" si="0"/>
        <v>0.00946372239747634</v>
      </c>
      <c r="H19" s="131"/>
      <c r="I19" s="131"/>
      <c r="J19" s="131"/>
      <c r="K19" s="131"/>
      <c r="L19" s="131"/>
      <c r="M19" s="131"/>
      <c r="N19" s="131"/>
      <c r="O19" s="131"/>
      <c r="P19" s="131"/>
      <c r="Q19" s="131"/>
      <c r="R19" s="131"/>
      <c r="S19" s="131"/>
      <c r="T19" s="131"/>
      <c r="U19" s="131"/>
      <c r="V19" s="131"/>
      <c r="W19" s="131"/>
      <c r="X19" s="131"/>
      <c r="Y19" s="131"/>
      <c r="Z19" s="131"/>
      <c r="AA19" s="131"/>
      <c r="AB19" s="131"/>
      <c r="AC19" s="131"/>
      <c r="AD19" s="131"/>
      <c r="AE19" s="131"/>
      <c r="AF19" s="131"/>
      <c r="AG19" s="131"/>
      <c r="AH19" s="131"/>
      <c r="AI19" s="131"/>
      <c r="AJ19" s="131"/>
      <c r="AK19" s="131"/>
      <c r="AL19" s="131"/>
      <c r="AM19" s="131"/>
      <c r="AN19" s="131"/>
      <c r="AO19" s="131"/>
      <c r="AP19" s="131"/>
      <c r="AQ19" s="131"/>
      <c r="AR19" s="131"/>
      <c r="AS19" s="131"/>
      <c r="AT19" s="131"/>
      <c r="AU19" s="131"/>
      <c r="AV19" s="131"/>
      <c r="AW19" s="131"/>
      <c r="AX19" s="131"/>
      <c r="AY19" s="131"/>
      <c r="AZ19" s="131"/>
      <c r="BA19" s="131"/>
      <c r="BB19" s="131"/>
      <c r="BC19" s="131"/>
      <c r="BD19" s="131"/>
      <c r="BE19" s="131"/>
      <c r="BF19" s="131"/>
      <c r="BG19" s="131"/>
    </row>
    <row r="20" spans="1:59" s="132" customFormat="1" ht="16.5">
      <c r="A20" s="120">
        <v>17</v>
      </c>
      <c r="B20" s="119" t="s">
        <v>1047</v>
      </c>
      <c r="C20" s="120" t="s">
        <v>1040</v>
      </c>
      <c r="D20" s="121" t="s">
        <v>1071</v>
      </c>
      <c r="E20" s="122">
        <v>15650</v>
      </c>
      <c r="F20" s="122">
        <v>15800</v>
      </c>
      <c r="G20" s="130">
        <f t="shared" si="0"/>
        <v>0.009584664536741214</v>
      </c>
      <c r="H20" s="131"/>
      <c r="I20" s="131"/>
      <c r="J20" s="131"/>
      <c r="K20" s="131"/>
      <c r="L20" s="131"/>
      <c r="M20" s="131"/>
      <c r="N20" s="131"/>
      <c r="O20" s="131"/>
      <c r="P20" s="131"/>
      <c r="Q20" s="131"/>
      <c r="R20" s="131"/>
      <c r="S20" s="131"/>
      <c r="T20" s="131"/>
      <c r="U20" s="131"/>
      <c r="V20" s="131"/>
      <c r="W20" s="131"/>
      <c r="X20" s="131"/>
      <c r="Y20" s="131"/>
      <c r="Z20" s="131"/>
      <c r="AA20" s="131"/>
      <c r="AB20" s="131"/>
      <c r="AC20" s="131"/>
      <c r="AD20" s="131"/>
      <c r="AE20" s="131"/>
      <c r="AF20" s="131"/>
      <c r="AG20" s="131"/>
      <c r="AH20" s="131"/>
      <c r="AI20" s="131"/>
      <c r="AJ20" s="131"/>
      <c r="AK20" s="131"/>
      <c r="AL20" s="131"/>
      <c r="AM20" s="131"/>
      <c r="AN20" s="131"/>
      <c r="AO20" s="131"/>
      <c r="AP20" s="131"/>
      <c r="AQ20" s="131"/>
      <c r="AR20" s="131"/>
      <c r="AS20" s="131"/>
      <c r="AT20" s="131"/>
      <c r="AU20" s="131"/>
      <c r="AV20" s="131"/>
      <c r="AW20" s="131"/>
      <c r="AX20" s="131"/>
      <c r="AY20" s="131"/>
      <c r="AZ20" s="131"/>
      <c r="BA20" s="131"/>
      <c r="BB20" s="131"/>
      <c r="BC20" s="131"/>
      <c r="BD20" s="131"/>
      <c r="BE20" s="131"/>
      <c r="BF20" s="131"/>
      <c r="BG20" s="131"/>
    </row>
    <row r="21" spans="1:6" s="56" customFormat="1" ht="17.25">
      <c r="A21" s="3">
        <f>IF(E21="","",COUNTA($E21:E$701))</f>
      </c>
      <c r="B21" s="32" t="s">
        <v>1736</v>
      </c>
      <c r="C21" s="9"/>
      <c r="D21" s="62"/>
      <c r="E21" s="10"/>
      <c r="F21" s="10"/>
    </row>
    <row r="22" spans="1:7" s="56" customFormat="1" ht="16.5">
      <c r="A22" s="3">
        <f>IF(E22="","",COUNTA($E22:E$701))</f>
        <v>427</v>
      </c>
      <c r="B22" s="28" t="s">
        <v>2135</v>
      </c>
      <c r="C22" s="7" t="s">
        <v>2098</v>
      </c>
      <c r="D22" s="62"/>
      <c r="E22" s="13">
        <v>439000</v>
      </c>
      <c r="F22" s="13">
        <v>483000</v>
      </c>
      <c r="G22" s="127">
        <f t="shared" si="0"/>
        <v>0.10022779043280182</v>
      </c>
    </row>
    <row r="23" spans="1:7" s="56" customFormat="1" ht="16.5">
      <c r="A23" s="3">
        <f>IF(E23="","",COUNTA($E23:E$701))</f>
        <v>426</v>
      </c>
      <c r="B23" s="28" t="s">
        <v>2136</v>
      </c>
      <c r="C23" s="7" t="s">
        <v>2098</v>
      </c>
      <c r="D23" s="62"/>
      <c r="E23" s="13">
        <v>475000</v>
      </c>
      <c r="F23" s="13">
        <v>523000</v>
      </c>
      <c r="G23" s="127">
        <f t="shared" si="0"/>
        <v>0.10105263157894737</v>
      </c>
    </row>
    <row r="24" spans="1:7" s="56" customFormat="1" ht="33">
      <c r="A24" s="3">
        <f>IF(E24="","",COUNTA($E24:E$701))</f>
        <v>425</v>
      </c>
      <c r="B24" s="28" t="s">
        <v>2137</v>
      </c>
      <c r="C24" s="7" t="s">
        <v>2097</v>
      </c>
      <c r="D24" s="62"/>
      <c r="E24" s="13">
        <v>1587000</v>
      </c>
      <c r="F24" s="13">
        <v>1746000</v>
      </c>
      <c r="G24" s="127">
        <f t="shared" si="0"/>
        <v>0.1001890359168242</v>
      </c>
    </row>
    <row r="25" spans="1:11" s="56" customFormat="1" ht="16.5">
      <c r="A25" s="3">
        <f>IF(E25="","",COUNTA($E25:E$701))</f>
        <v>424</v>
      </c>
      <c r="B25" s="28" t="s">
        <v>2138</v>
      </c>
      <c r="C25" s="7" t="s">
        <v>2097</v>
      </c>
      <c r="D25" s="62"/>
      <c r="E25" s="13">
        <v>2315000</v>
      </c>
      <c r="F25" s="13">
        <v>2547000</v>
      </c>
      <c r="G25" s="127">
        <f t="shared" si="0"/>
        <v>0.1002159827213823</v>
      </c>
      <c r="H25" s="128">
        <f>MIN(G22:G32)</f>
        <v>0.09940357852882704</v>
      </c>
      <c r="K25" s="129"/>
    </row>
    <row r="26" spans="1:8" s="56" customFormat="1" ht="16.5">
      <c r="A26" s="3">
        <f>IF(E26="","",COUNTA($E26:E$701))</f>
        <v>423</v>
      </c>
      <c r="B26" s="28" t="s">
        <v>2139</v>
      </c>
      <c r="C26" s="7" t="s">
        <v>2097</v>
      </c>
      <c r="D26" s="62"/>
      <c r="E26" s="13">
        <v>1006000</v>
      </c>
      <c r="F26" s="13">
        <v>1106000</v>
      </c>
      <c r="G26" s="127">
        <f t="shared" si="0"/>
        <v>0.09940357852882704</v>
      </c>
      <c r="H26" s="128">
        <f>MAX(G22:G32)</f>
        <v>0.10105263157894737</v>
      </c>
    </row>
    <row r="27" spans="1:7" s="56" customFormat="1" ht="16.5">
      <c r="A27" s="3">
        <f>IF(E27="","",COUNTA($E27:E$701))</f>
        <v>422</v>
      </c>
      <c r="B27" s="28" t="s">
        <v>2140</v>
      </c>
      <c r="C27" s="7" t="s">
        <v>2097</v>
      </c>
      <c r="D27" s="62"/>
      <c r="E27" s="13">
        <v>1188000</v>
      </c>
      <c r="F27" s="13">
        <v>1307000</v>
      </c>
      <c r="G27" s="127">
        <f t="shared" si="0"/>
        <v>0.10016835016835017</v>
      </c>
    </row>
    <row r="28" spans="1:7" s="56" customFormat="1" ht="16.5">
      <c r="A28" s="3">
        <f>IF(E28="","",COUNTA($E28:E$701))</f>
        <v>421</v>
      </c>
      <c r="B28" s="28" t="s">
        <v>2141</v>
      </c>
      <c r="C28" s="7" t="s">
        <v>2097</v>
      </c>
      <c r="D28" s="62"/>
      <c r="E28" s="13">
        <v>803000</v>
      </c>
      <c r="F28" s="13">
        <v>884000</v>
      </c>
      <c r="G28" s="127">
        <f t="shared" si="0"/>
        <v>0.10087173100871731</v>
      </c>
    </row>
    <row r="29" spans="1:7" s="56" customFormat="1" ht="16.5">
      <c r="A29" s="3">
        <f>IF(E29="","",COUNTA($E29:E$701))</f>
        <v>420</v>
      </c>
      <c r="B29" s="28" t="s">
        <v>2142</v>
      </c>
      <c r="C29" s="7" t="s">
        <v>2097</v>
      </c>
      <c r="D29" s="62"/>
      <c r="E29" s="13">
        <v>2124000</v>
      </c>
      <c r="F29" s="13">
        <v>2337000</v>
      </c>
      <c r="G29" s="127">
        <f t="shared" si="0"/>
        <v>0.10028248587570622</v>
      </c>
    </row>
    <row r="30" spans="1:7" s="56" customFormat="1" ht="16.5">
      <c r="A30" s="3">
        <f>IF(E30="","",COUNTA($E30:E$701))</f>
        <v>419</v>
      </c>
      <c r="B30" s="28" t="s">
        <v>2143</v>
      </c>
      <c r="C30" s="7" t="s">
        <v>2097</v>
      </c>
      <c r="D30" s="62"/>
      <c r="E30" s="13">
        <v>1172000</v>
      </c>
      <c r="F30" s="13">
        <v>1289000</v>
      </c>
      <c r="G30" s="127">
        <f t="shared" si="0"/>
        <v>0.09982935153583618</v>
      </c>
    </row>
    <row r="31" spans="1:7" s="56" customFormat="1" ht="16.5">
      <c r="A31" s="3">
        <f>IF(E31="","",COUNTA($E31:E$701))</f>
        <v>418</v>
      </c>
      <c r="B31" s="28" t="s">
        <v>2144</v>
      </c>
      <c r="C31" s="7" t="s">
        <v>2097</v>
      </c>
      <c r="D31" s="62"/>
      <c r="E31" s="13">
        <v>2069000</v>
      </c>
      <c r="F31" s="13">
        <v>2276000</v>
      </c>
      <c r="G31" s="127">
        <f t="shared" si="0"/>
        <v>0.1000483325277912</v>
      </c>
    </row>
    <row r="32" spans="1:7" s="56" customFormat="1" ht="16.5">
      <c r="A32" s="3">
        <f>IF(E32="","",COUNTA($E32:E$701))</f>
        <v>417</v>
      </c>
      <c r="B32" s="28" t="s">
        <v>1663</v>
      </c>
      <c r="C32" s="7" t="s">
        <v>2097</v>
      </c>
      <c r="D32" s="62"/>
      <c r="E32" s="13">
        <v>1151000</v>
      </c>
      <c r="F32" s="13">
        <v>1266000</v>
      </c>
      <c r="G32" s="127">
        <f t="shared" si="0"/>
        <v>0.0999131190269331</v>
      </c>
    </row>
    <row r="33" spans="1:6" s="56" customFormat="1" ht="16.5">
      <c r="A33" s="20" t="s">
        <v>12</v>
      </c>
      <c r="B33" s="41" t="s">
        <v>1495</v>
      </c>
      <c r="C33" s="92"/>
      <c r="D33" s="62"/>
      <c r="E33" s="1"/>
      <c r="F33" s="21"/>
    </row>
    <row r="34" spans="1:7" s="104" customFormat="1" ht="16.5" customHeight="1">
      <c r="A34" s="3">
        <f>IF(E34="","",COUNTA($E34:E$3034))</f>
        <v>416</v>
      </c>
      <c r="B34" s="42" t="s">
        <v>2179</v>
      </c>
      <c r="C34" s="3" t="s">
        <v>1040</v>
      </c>
      <c r="D34" s="62"/>
      <c r="E34" s="8">
        <v>19700</v>
      </c>
      <c r="F34" s="8">
        <v>19300</v>
      </c>
      <c r="G34" s="127">
        <f aca="true" t="shared" si="1" ref="G34:G97">(F34-E34)/E34</f>
        <v>-0.02030456852791878</v>
      </c>
    </row>
    <row r="35" spans="1:8" s="104" customFormat="1" ht="16.5">
      <c r="A35" s="3">
        <f>IF(E35="","",COUNTA($E35:E$3034))</f>
        <v>415</v>
      </c>
      <c r="B35" s="42" t="s">
        <v>2180</v>
      </c>
      <c r="C35" s="3" t="s">
        <v>1040</v>
      </c>
      <c r="D35" s="62"/>
      <c r="E35" s="8">
        <v>17600</v>
      </c>
      <c r="F35" s="8">
        <v>17200</v>
      </c>
      <c r="G35" s="127">
        <f t="shared" si="1"/>
        <v>-0.022727272727272728</v>
      </c>
      <c r="H35" s="128">
        <f>MIN(G34:G39)</f>
        <v>-0.023952095808383235</v>
      </c>
    </row>
    <row r="36" spans="1:8" s="104" customFormat="1" ht="16.5">
      <c r="A36" s="3">
        <f>IF(E36="","",COUNTA($E36:E$3034))</f>
        <v>414</v>
      </c>
      <c r="B36" s="42" t="s">
        <v>2181</v>
      </c>
      <c r="C36" s="3" t="s">
        <v>1040</v>
      </c>
      <c r="D36" s="62"/>
      <c r="E36" s="8">
        <v>16700</v>
      </c>
      <c r="F36" s="8">
        <v>16300</v>
      </c>
      <c r="G36" s="127">
        <f t="shared" si="1"/>
        <v>-0.023952095808383235</v>
      </c>
      <c r="H36" s="128">
        <f>MAX(G34:G39)</f>
        <v>-0.019305019305019305</v>
      </c>
    </row>
    <row r="37" spans="1:7" s="104" customFormat="1" ht="16.5">
      <c r="A37" s="3">
        <f>IF(E37="","",COUNTA($E37:E$3034))</f>
        <v>413</v>
      </c>
      <c r="B37" s="42" t="s">
        <v>2182</v>
      </c>
      <c r="C37" s="3" t="s">
        <v>1040</v>
      </c>
      <c r="D37" s="62"/>
      <c r="E37" s="8">
        <v>19200</v>
      </c>
      <c r="F37" s="8">
        <v>18800</v>
      </c>
      <c r="G37" s="127">
        <f t="shared" si="1"/>
        <v>-0.020833333333333332</v>
      </c>
    </row>
    <row r="38" spans="1:7" s="104" customFormat="1" ht="16.5">
      <c r="A38" s="3">
        <f>IF(E38="","",COUNTA($E38:E$3034))</f>
        <v>412</v>
      </c>
      <c r="B38" s="42" t="s">
        <v>2183</v>
      </c>
      <c r="C38" s="3" t="s">
        <v>1040</v>
      </c>
      <c r="D38" s="62"/>
      <c r="E38" s="8">
        <v>23400</v>
      </c>
      <c r="F38" s="8">
        <v>22900</v>
      </c>
      <c r="G38" s="127">
        <f t="shared" si="1"/>
        <v>-0.021367521367521368</v>
      </c>
    </row>
    <row r="39" spans="1:7" s="104" customFormat="1" ht="16.5">
      <c r="A39" s="3">
        <f>IF(E39="","",COUNTA($E39:E$3034))</f>
        <v>411</v>
      </c>
      <c r="B39" s="42" t="s">
        <v>2184</v>
      </c>
      <c r="C39" s="3" t="s">
        <v>1040</v>
      </c>
      <c r="D39" s="62"/>
      <c r="E39" s="8">
        <v>25900</v>
      </c>
      <c r="F39" s="8">
        <v>25400</v>
      </c>
      <c r="G39" s="127">
        <f t="shared" si="1"/>
        <v>-0.019305019305019305</v>
      </c>
    </row>
    <row r="40" spans="1:7" s="56" customFormat="1" ht="16.5">
      <c r="A40" s="12" t="s">
        <v>1692</v>
      </c>
      <c r="B40" s="34" t="s">
        <v>1755</v>
      </c>
      <c r="C40" s="3"/>
      <c r="D40" s="62"/>
      <c r="E40" s="1"/>
      <c r="F40" s="21"/>
      <c r="G40" s="127" t="e">
        <f t="shared" si="1"/>
        <v>#DIV/0!</v>
      </c>
    </row>
    <row r="41" spans="1:7" s="56" customFormat="1" ht="86.25" customHeight="1">
      <c r="A41" s="3">
        <f>IF(E41="","",COUNTA($E41:E$1052))</f>
      </c>
      <c r="B41" s="31" t="s">
        <v>958</v>
      </c>
      <c r="C41" s="21"/>
      <c r="D41" s="62"/>
      <c r="E41" s="85"/>
      <c r="F41" s="85"/>
      <c r="G41" s="127"/>
    </row>
    <row r="42" spans="1:7" s="56" customFormat="1" ht="16.5" customHeight="1">
      <c r="A42" s="3">
        <f>IF(E42="","",COUNTA($E42:E$1052))</f>
        <v>410</v>
      </c>
      <c r="B42" s="58" t="s">
        <v>1459</v>
      </c>
      <c r="C42" s="21" t="s">
        <v>1745</v>
      </c>
      <c r="D42" s="243" t="s">
        <v>1460</v>
      </c>
      <c r="E42" s="85">
        <v>206364</v>
      </c>
      <c r="F42" s="85">
        <v>204545</v>
      </c>
      <c r="G42" s="127">
        <f t="shared" si="1"/>
        <v>-0.008814521912736718</v>
      </c>
    </row>
    <row r="43" spans="1:7" s="56" customFormat="1" ht="16.5">
      <c r="A43" s="3">
        <f>IF(E43="","",COUNTA($E43:E$1052))</f>
        <v>409</v>
      </c>
      <c r="B43" s="58" t="s">
        <v>1461</v>
      </c>
      <c r="C43" s="21" t="s">
        <v>1745</v>
      </c>
      <c r="D43" s="243"/>
      <c r="E43" s="85">
        <v>220909</v>
      </c>
      <c r="F43" s="85">
        <v>219091</v>
      </c>
      <c r="G43" s="127">
        <f t="shared" si="1"/>
        <v>-0.008229633016309884</v>
      </c>
    </row>
    <row r="44" spans="1:7" s="56" customFormat="1" ht="16.5">
      <c r="A44" s="3">
        <f>IF(E44="","",COUNTA($E44:E$1052))</f>
        <v>408</v>
      </c>
      <c r="B44" s="58" t="s">
        <v>1459</v>
      </c>
      <c r="C44" s="21" t="s">
        <v>1745</v>
      </c>
      <c r="D44" s="247" t="s">
        <v>1462</v>
      </c>
      <c r="E44" s="85">
        <v>236364</v>
      </c>
      <c r="F44" s="85">
        <v>243636</v>
      </c>
      <c r="G44" s="127">
        <f t="shared" si="1"/>
        <v>0.030766106513682286</v>
      </c>
    </row>
    <row r="45" spans="1:7" s="56" customFormat="1" ht="16.5" customHeight="1">
      <c r="A45" s="3">
        <f>IF(E45="","",COUNTA($E45:E$1052))</f>
        <v>407</v>
      </c>
      <c r="B45" s="58" t="s">
        <v>1461</v>
      </c>
      <c r="C45" s="21" t="s">
        <v>1745</v>
      </c>
      <c r="D45" s="247"/>
      <c r="E45" s="85">
        <v>262727</v>
      </c>
      <c r="F45" s="85">
        <v>262727</v>
      </c>
      <c r="G45" s="127">
        <f t="shared" si="1"/>
        <v>0</v>
      </c>
    </row>
    <row r="46" spans="1:7" s="56" customFormat="1" ht="16.5">
      <c r="A46" s="3">
        <f>IF(E46="","",COUNTA($E46:E$1052))</f>
        <v>406</v>
      </c>
      <c r="B46" s="58" t="s">
        <v>1463</v>
      </c>
      <c r="C46" s="21" t="s">
        <v>1745</v>
      </c>
      <c r="D46" s="247"/>
      <c r="E46" s="85">
        <v>281818</v>
      </c>
      <c r="F46" s="85">
        <v>281818</v>
      </c>
      <c r="G46" s="127">
        <f t="shared" si="1"/>
        <v>0</v>
      </c>
    </row>
    <row r="47" spans="1:7" s="56" customFormat="1" ht="16.5">
      <c r="A47" s="3">
        <f>IF(E47="","",COUNTA($E47:E$1052))</f>
        <v>405</v>
      </c>
      <c r="B47" s="58" t="s">
        <v>1459</v>
      </c>
      <c r="C47" s="21" t="s">
        <v>1745</v>
      </c>
      <c r="D47" s="247" t="s">
        <v>1464</v>
      </c>
      <c r="E47" s="85">
        <v>228182</v>
      </c>
      <c r="F47" s="85">
        <v>228182</v>
      </c>
      <c r="G47" s="127">
        <f t="shared" si="1"/>
        <v>0</v>
      </c>
    </row>
    <row r="48" spans="1:7" s="56" customFormat="1" ht="16.5">
      <c r="A48" s="3">
        <f>IF(E48="","",COUNTA($E48:E$1052))</f>
        <v>404</v>
      </c>
      <c r="B48" s="58" t="s">
        <v>1465</v>
      </c>
      <c r="C48" s="21" t="s">
        <v>1745</v>
      </c>
      <c r="D48" s="247"/>
      <c r="E48" s="85">
        <v>243636</v>
      </c>
      <c r="F48" s="85">
        <v>243636</v>
      </c>
      <c r="G48" s="127">
        <f t="shared" si="1"/>
        <v>0</v>
      </c>
    </row>
    <row r="49" spans="1:7" s="56" customFormat="1" ht="16.5">
      <c r="A49" s="3">
        <f>IF(E49="","",COUNTA($E49:E$1052))</f>
        <v>403</v>
      </c>
      <c r="B49" s="58" t="s">
        <v>1466</v>
      </c>
      <c r="C49" s="21" t="s">
        <v>1745</v>
      </c>
      <c r="D49" s="247" t="s">
        <v>1467</v>
      </c>
      <c r="E49" s="85">
        <v>179091</v>
      </c>
      <c r="F49" s="85">
        <v>179091</v>
      </c>
      <c r="G49" s="127">
        <f t="shared" si="1"/>
        <v>0</v>
      </c>
    </row>
    <row r="50" spans="1:7" s="56" customFormat="1" ht="16.5">
      <c r="A50" s="3">
        <f>IF(E50="","",COUNTA($E50:E$1052))</f>
        <v>402</v>
      </c>
      <c r="B50" s="58" t="s">
        <v>1468</v>
      </c>
      <c r="C50" s="21" t="s">
        <v>1745</v>
      </c>
      <c r="D50" s="247"/>
      <c r="E50" s="85">
        <v>190000</v>
      </c>
      <c r="F50" s="85">
        <v>190000</v>
      </c>
      <c r="G50" s="127">
        <f t="shared" si="1"/>
        <v>0</v>
      </c>
    </row>
    <row r="51" spans="1:7" s="56" customFormat="1" ht="16.5">
      <c r="A51" s="3">
        <f>IF(E51="","",COUNTA($E51:E$1052))</f>
        <v>401</v>
      </c>
      <c r="B51" s="58" t="s">
        <v>1459</v>
      </c>
      <c r="C51" s="21" t="s">
        <v>1745</v>
      </c>
      <c r="D51" s="247"/>
      <c r="E51" s="85">
        <v>200909</v>
      </c>
      <c r="F51" s="85">
        <v>200909</v>
      </c>
      <c r="G51" s="127">
        <f t="shared" si="1"/>
        <v>0</v>
      </c>
    </row>
    <row r="52" spans="1:7" s="56" customFormat="1" ht="16.5">
      <c r="A52" s="3">
        <f>IF(E52="","",COUNTA($E52:E$1052))</f>
        <v>400</v>
      </c>
      <c r="B52" s="58" t="s">
        <v>1469</v>
      </c>
      <c r="C52" s="21" t="s">
        <v>1745</v>
      </c>
      <c r="D52" s="247"/>
      <c r="E52" s="85">
        <v>209091</v>
      </c>
      <c r="F52" s="85">
        <v>211818</v>
      </c>
      <c r="G52" s="127">
        <f t="shared" si="1"/>
        <v>0.013042168242535547</v>
      </c>
    </row>
    <row r="53" spans="1:7" s="56" customFormat="1" ht="16.5">
      <c r="A53" s="3">
        <f>IF(E53="","",COUNTA($E53:E$1052))</f>
        <v>399</v>
      </c>
      <c r="B53" s="58" t="s">
        <v>1465</v>
      </c>
      <c r="C53" s="21" t="s">
        <v>1745</v>
      </c>
      <c r="D53" s="247"/>
      <c r="E53" s="85">
        <v>213636</v>
      </c>
      <c r="F53" s="85">
        <v>216364</v>
      </c>
      <c r="G53" s="127">
        <f t="shared" si="1"/>
        <v>0.012769383437248405</v>
      </c>
    </row>
    <row r="54" spans="1:7" s="56" customFormat="1" ht="16.5" customHeight="1">
      <c r="A54" s="3">
        <f>IF(E54="","",COUNTA($E54:E$1052))</f>
        <v>398</v>
      </c>
      <c r="B54" s="58" t="s">
        <v>1459</v>
      </c>
      <c r="C54" s="21" t="s">
        <v>1745</v>
      </c>
      <c r="D54" s="247" t="s">
        <v>172</v>
      </c>
      <c r="E54" s="85">
        <v>199091</v>
      </c>
      <c r="F54" s="85">
        <v>199091</v>
      </c>
      <c r="G54" s="127">
        <f t="shared" si="1"/>
        <v>0</v>
      </c>
    </row>
    <row r="55" spans="1:7" s="56" customFormat="1" ht="16.5">
      <c r="A55" s="3">
        <f>IF(E55="","",COUNTA($E55:E$1052))</f>
        <v>397</v>
      </c>
      <c r="B55" s="58" t="s">
        <v>1465</v>
      </c>
      <c r="C55" s="21" t="s">
        <v>1745</v>
      </c>
      <c r="D55" s="247"/>
      <c r="E55" s="85">
        <v>211818</v>
      </c>
      <c r="F55" s="85">
        <v>211818</v>
      </c>
      <c r="G55" s="127">
        <f t="shared" si="1"/>
        <v>0</v>
      </c>
    </row>
    <row r="56" spans="1:7" s="56" customFormat="1" ht="16.5">
      <c r="A56" s="3">
        <f>IF(E56="","",COUNTA($E56:E$1052))</f>
        <v>396</v>
      </c>
      <c r="B56" s="58" t="s">
        <v>1466</v>
      </c>
      <c r="C56" s="21" t="s">
        <v>1745</v>
      </c>
      <c r="D56" s="247" t="s">
        <v>1470</v>
      </c>
      <c r="E56" s="85">
        <v>159091</v>
      </c>
      <c r="F56" s="85">
        <v>159091</v>
      </c>
      <c r="G56" s="127">
        <f t="shared" si="1"/>
        <v>0</v>
      </c>
    </row>
    <row r="57" spans="1:7" s="56" customFormat="1" ht="16.5">
      <c r="A57" s="3">
        <f>IF(E57="","",COUNTA($E57:E$1052))</f>
        <v>395</v>
      </c>
      <c r="B57" s="58" t="s">
        <v>1468</v>
      </c>
      <c r="C57" s="21" t="s">
        <v>1745</v>
      </c>
      <c r="D57" s="247"/>
      <c r="E57" s="85">
        <v>172727</v>
      </c>
      <c r="F57" s="85">
        <v>172727</v>
      </c>
      <c r="G57" s="127">
        <f t="shared" si="1"/>
        <v>0</v>
      </c>
    </row>
    <row r="58" spans="1:7" s="56" customFormat="1" ht="16.5">
      <c r="A58" s="3">
        <f>IF(E58="","",COUNTA($E58:E$1052))</f>
        <v>394</v>
      </c>
      <c r="B58" s="58" t="s">
        <v>1459</v>
      </c>
      <c r="C58" s="21" t="s">
        <v>1745</v>
      </c>
      <c r="D58" s="247"/>
      <c r="E58" s="85">
        <v>183636</v>
      </c>
      <c r="F58" s="85">
        <v>183636</v>
      </c>
      <c r="G58" s="127">
        <f t="shared" si="1"/>
        <v>0</v>
      </c>
    </row>
    <row r="59" spans="1:7" s="56" customFormat="1" ht="16.5">
      <c r="A59" s="3">
        <f>IF(E59="","",COUNTA($E59:E$1052))</f>
        <v>393</v>
      </c>
      <c r="B59" s="58" t="s">
        <v>1465</v>
      </c>
      <c r="C59" s="21" t="s">
        <v>1745</v>
      </c>
      <c r="D59" s="247"/>
      <c r="E59" s="85">
        <v>199091</v>
      </c>
      <c r="F59" s="85">
        <v>199091</v>
      </c>
      <c r="G59" s="127">
        <f t="shared" si="1"/>
        <v>0</v>
      </c>
    </row>
    <row r="60" spans="1:7" s="56" customFormat="1" ht="16.5">
      <c r="A60" s="3">
        <f>IF(E60="","",COUNTA($E60:E$1052))</f>
        <v>392</v>
      </c>
      <c r="B60" s="58" t="s">
        <v>1466</v>
      </c>
      <c r="C60" s="21" t="s">
        <v>1745</v>
      </c>
      <c r="D60" s="247" t="s">
        <v>1471</v>
      </c>
      <c r="E60" s="85">
        <v>175455</v>
      </c>
      <c r="F60" s="85">
        <v>175455</v>
      </c>
      <c r="G60" s="127">
        <f t="shared" si="1"/>
        <v>0</v>
      </c>
    </row>
    <row r="61" spans="1:7" s="56" customFormat="1" ht="16.5" customHeight="1">
      <c r="A61" s="3">
        <f>IF(E61="","",COUNTA($E61:E$1052))</f>
        <v>391</v>
      </c>
      <c r="B61" s="58" t="s">
        <v>1459</v>
      </c>
      <c r="C61" s="21" t="s">
        <v>1745</v>
      </c>
      <c r="D61" s="247"/>
      <c r="E61" s="85">
        <v>197273</v>
      </c>
      <c r="F61" s="85">
        <v>187273</v>
      </c>
      <c r="G61" s="127">
        <f t="shared" si="1"/>
        <v>-0.05069117415966706</v>
      </c>
    </row>
    <row r="62" spans="1:7" s="56" customFormat="1" ht="16.5">
      <c r="A62" s="3">
        <f>IF(E62="","",COUNTA($E62:E$1052))</f>
        <v>390</v>
      </c>
      <c r="B62" s="58" t="s">
        <v>1465</v>
      </c>
      <c r="C62" s="21" t="s">
        <v>1745</v>
      </c>
      <c r="D62" s="247"/>
      <c r="E62" s="85">
        <v>211818</v>
      </c>
      <c r="F62" s="85">
        <v>199091</v>
      </c>
      <c r="G62" s="127">
        <f t="shared" si="1"/>
        <v>-0.06008460093098792</v>
      </c>
    </row>
    <row r="63" spans="1:7" s="56" customFormat="1" ht="16.5">
      <c r="A63" s="3">
        <f>IF(E63="","",COUNTA($E63:E$1052))</f>
        <v>389</v>
      </c>
      <c r="B63" s="58" t="s">
        <v>1463</v>
      </c>
      <c r="C63" s="21" t="s">
        <v>1745</v>
      </c>
      <c r="D63" s="247"/>
      <c r="E63" s="85">
        <v>223636</v>
      </c>
      <c r="F63" s="85">
        <v>211818</v>
      </c>
      <c r="G63" s="127">
        <f t="shared" si="1"/>
        <v>-0.05284480137366077</v>
      </c>
    </row>
    <row r="64" spans="1:7" s="56" customFormat="1" ht="86.25" customHeight="1">
      <c r="A64" s="3">
        <f>IF(E64="","",COUNTA($E64:E$1052))</f>
      </c>
      <c r="B64" s="31" t="s">
        <v>1743</v>
      </c>
      <c r="C64" s="21"/>
      <c r="D64" s="62"/>
      <c r="E64" s="85"/>
      <c r="F64" s="85"/>
      <c r="G64" s="127"/>
    </row>
    <row r="65" spans="1:7" s="56" customFormat="1" ht="16.5">
      <c r="A65" s="3">
        <f>IF(E65="","",COUNTA($E65:E$1052))</f>
        <v>388</v>
      </c>
      <c r="B65" s="22" t="s">
        <v>1744</v>
      </c>
      <c r="C65" s="21" t="s">
        <v>1745</v>
      </c>
      <c r="D65" s="243" t="s">
        <v>960</v>
      </c>
      <c r="E65" s="85">
        <v>200909</v>
      </c>
      <c r="F65" s="85">
        <v>199091</v>
      </c>
      <c r="G65" s="127">
        <f t="shared" si="1"/>
        <v>-0.009048872872793155</v>
      </c>
    </row>
    <row r="66" spans="1:7" s="56" customFormat="1" ht="16.5">
      <c r="A66" s="3">
        <f>IF(E66="","",COUNTA($E66:E$1052))</f>
        <v>387</v>
      </c>
      <c r="B66" s="22" t="s">
        <v>1746</v>
      </c>
      <c r="C66" s="21" t="s">
        <v>1745</v>
      </c>
      <c r="D66" s="243"/>
      <c r="E66" s="85">
        <v>216364</v>
      </c>
      <c r="F66" s="85">
        <v>213636</v>
      </c>
      <c r="G66" s="127">
        <f t="shared" si="1"/>
        <v>-0.012608382170786268</v>
      </c>
    </row>
    <row r="67" spans="1:7" s="56" customFormat="1" ht="16.5">
      <c r="A67" s="3">
        <f>IF(E67="","",COUNTA($E67:E$1052))</f>
        <v>386</v>
      </c>
      <c r="B67" s="22" t="s">
        <v>1744</v>
      </c>
      <c r="C67" s="21" t="s">
        <v>1745</v>
      </c>
      <c r="D67" s="243" t="s">
        <v>169</v>
      </c>
      <c r="E67" s="85">
        <v>231818</v>
      </c>
      <c r="F67" s="85">
        <v>238182</v>
      </c>
      <c r="G67" s="127">
        <f t="shared" si="1"/>
        <v>0.027452570551035727</v>
      </c>
    </row>
    <row r="68" spans="1:7" s="56" customFormat="1" ht="16.5">
      <c r="A68" s="3">
        <f>IF(E68="","",COUNTA($E68:E$1052))</f>
        <v>385</v>
      </c>
      <c r="B68" s="22" t="s">
        <v>1746</v>
      </c>
      <c r="C68" s="21" t="s">
        <v>1745</v>
      </c>
      <c r="D68" s="243"/>
      <c r="E68" s="85">
        <v>258182</v>
      </c>
      <c r="F68" s="85">
        <v>258182</v>
      </c>
      <c r="G68" s="127">
        <f t="shared" si="1"/>
        <v>0</v>
      </c>
    </row>
    <row r="69" spans="1:7" s="56" customFormat="1" ht="16.5" customHeight="1">
      <c r="A69" s="3">
        <f>IF(E69="","",COUNTA($E69:E$1052))</f>
        <v>384</v>
      </c>
      <c r="B69" s="22" t="s">
        <v>1747</v>
      </c>
      <c r="C69" s="21" t="s">
        <v>1745</v>
      </c>
      <c r="D69" s="243"/>
      <c r="E69" s="85">
        <v>277273</v>
      </c>
      <c r="F69" s="85">
        <v>277273</v>
      </c>
      <c r="G69" s="127">
        <f t="shared" si="1"/>
        <v>0</v>
      </c>
    </row>
    <row r="70" spans="1:7" s="56" customFormat="1" ht="16.5">
      <c r="A70" s="3">
        <f>IF(E70="","",COUNTA($E70:E$1052))</f>
        <v>383</v>
      </c>
      <c r="B70" s="22" t="s">
        <v>1744</v>
      </c>
      <c r="C70" s="21" t="s">
        <v>1745</v>
      </c>
      <c r="D70" s="247" t="s">
        <v>1464</v>
      </c>
      <c r="E70" s="85">
        <v>223636</v>
      </c>
      <c r="F70" s="85">
        <v>223636</v>
      </c>
      <c r="G70" s="127">
        <f t="shared" si="1"/>
        <v>0</v>
      </c>
    </row>
    <row r="71" spans="1:7" s="56" customFormat="1" ht="16.5" customHeight="1">
      <c r="A71" s="3">
        <f>IF(E71="","",COUNTA($E71:E$1052))</f>
        <v>382</v>
      </c>
      <c r="B71" s="22" t="s">
        <v>1746</v>
      </c>
      <c r="C71" s="21" t="s">
        <v>1745</v>
      </c>
      <c r="D71" s="247"/>
      <c r="E71" s="85">
        <v>238182</v>
      </c>
      <c r="F71" s="85">
        <v>238182</v>
      </c>
      <c r="G71" s="127">
        <f t="shared" si="1"/>
        <v>0</v>
      </c>
    </row>
    <row r="72" spans="1:7" s="56" customFormat="1" ht="16.5">
      <c r="A72" s="3">
        <f>IF(E72="","",COUNTA($E72:E$1052))</f>
        <v>381</v>
      </c>
      <c r="B72" s="22" t="s">
        <v>1749</v>
      </c>
      <c r="C72" s="21" t="s">
        <v>1745</v>
      </c>
      <c r="D72" s="243" t="s">
        <v>170</v>
      </c>
      <c r="E72" s="85">
        <v>174545</v>
      </c>
      <c r="F72" s="85">
        <v>174545</v>
      </c>
      <c r="G72" s="127">
        <f t="shared" si="1"/>
        <v>0</v>
      </c>
    </row>
    <row r="73" spans="1:7" s="56" customFormat="1" ht="16.5">
      <c r="A73" s="3">
        <f>IF(E73="","",COUNTA($E73:E$1052))</f>
        <v>380</v>
      </c>
      <c r="B73" s="22" t="s">
        <v>1750</v>
      </c>
      <c r="C73" s="21" t="s">
        <v>1745</v>
      </c>
      <c r="D73" s="243"/>
      <c r="E73" s="85">
        <v>184545</v>
      </c>
      <c r="F73" s="85">
        <v>184545</v>
      </c>
      <c r="G73" s="127">
        <f t="shared" si="1"/>
        <v>0</v>
      </c>
    </row>
    <row r="74" spans="1:7" s="56" customFormat="1" ht="16.5">
      <c r="A74" s="3">
        <f>IF(E74="","",COUNTA($E74:E$1052))</f>
        <v>379</v>
      </c>
      <c r="B74" s="22" t="s">
        <v>1744</v>
      </c>
      <c r="C74" s="21" t="s">
        <v>1745</v>
      </c>
      <c r="D74" s="243"/>
      <c r="E74" s="85">
        <v>196364</v>
      </c>
      <c r="F74" s="85">
        <v>196364</v>
      </c>
      <c r="G74" s="127">
        <f t="shared" si="1"/>
        <v>0</v>
      </c>
    </row>
    <row r="75" spans="1:7" s="56" customFormat="1" ht="16.5">
      <c r="A75" s="3">
        <f>IF(E75="","",COUNTA($E75:E$1052))</f>
        <v>378</v>
      </c>
      <c r="B75" s="22" t="s">
        <v>1751</v>
      </c>
      <c r="C75" s="21" t="s">
        <v>1745</v>
      </c>
      <c r="D75" s="243"/>
      <c r="E75" s="85">
        <v>204545</v>
      </c>
      <c r="F75" s="85">
        <v>207273</v>
      </c>
      <c r="G75" s="127">
        <f t="shared" si="1"/>
        <v>0.013336918526485615</v>
      </c>
    </row>
    <row r="76" spans="1:7" s="56" customFormat="1" ht="16.5" customHeight="1">
      <c r="A76" s="3">
        <f>IF(E76="","",COUNTA($E76:E$1052))</f>
        <v>377</v>
      </c>
      <c r="B76" s="22" t="s">
        <v>1748</v>
      </c>
      <c r="C76" s="21" t="s">
        <v>1745</v>
      </c>
      <c r="D76" s="243"/>
      <c r="E76" s="85">
        <v>209091</v>
      </c>
      <c r="F76" s="85">
        <v>210909</v>
      </c>
      <c r="G76" s="127">
        <f t="shared" si="1"/>
        <v>0.00869477882835703</v>
      </c>
    </row>
    <row r="77" spans="1:7" s="56" customFormat="1" ht="16.5">
      <c r="A77" s="3">
        <f>IF(E77="","",COUNTA($E77:E$1052))</f>
        <v>376</v>
      </c>
      <c r="B77" s="22" t="s">
        <v>1749</v>
      </c>
      <c r="C77" s="21" t="s">
        <v>1745</v>
      </c>
      <c r="D77" s="243" t="s">
        <v>959</v>
      </c>
      <c r="E77" s="85">
        <v>154545</v>
      </c>
      <c r="F77" s="85">
        <v>154545</v>
      </c>
      <c r="G77" s="127">
        <f t="shared" si="1"/>
        <v>0</v>
      </c>
    </row>
    <row r="78" spans="1:7" s="56" customFormat="1" ht="16.5">
      <c r="A78" s="3">
        <f>IF(E78="","",COUNTA($E78:E$1052))</f>
        <v>375</v>
      </c>
      <c r="B78" s="22" t="s">
        <v>1750</v>
      </c>
      <c r="C78" s="21" t="s">
        <v>1745</v>
      </c>
      <c r="D78" s="243"/>
      <c r="E78" s="85">
        <v>168182</v>
      </c>
      <c r="F78" s="85">
        <v>168182</v>
      </c>
      <c r="G78" s="127">
        <f t="shared" si="1"/>
        <v>0</v>
      </c>
    </row>
    <row r="79" spans="1:7" s="56" customFormat="1" ht="51.75" customHeight="1">
      <c r="A79" s="3">
        <f>IF(E79="","",COUNTA($E79:E$1052))</f>
        <v>374</v>
      </c>
      <c r="B79" s="22" t="s">
        <v>1744</v>
      </c>
      <c r="C79" s="21" t="s">
        <v>1745</v>
      </c>
      <c r="D79" s="243"/>
      <c r="E79" s="85">
        <v>179091</v>
      </c>
      <c r="F79" s="85">
        <v>179091</v>
      </c>
      <c r="G79" s="127">
        <f t="shared" si="1"/>
        <v>0</v>
      </c>
    </row>
    <row r="80" spans="1:7" s="56" customFormat="1" ht="16.5" customHeight="1">
      <c r="A80" s="3">
        <f>IF(E80="","",COUNTA($E80:E$1052))</f>
        <v>373</v>
      </c>
      <c r="B80" s="22" t="s">
        <v>1748</v>
      </c>
      <c r="C80" s="21" t="s">
        <v>1745</v>
      </c>
      <c r="D80" s="243"/>
      <c r="E80" s="85">
        <v>194545</v>
      </c>
      <c r="F80" s="85">
        <v>194545</v>
      </c>
      <c r="G80" s="127">
        <f t="shared" si="1"/>
        <v>0</v>
      </c>
    </row>
    <row r="81" spans="1:7" s="56" customFormat="1" ht="16.5">
      <c r="A81" s="3">
        <f>IF(E81="","",COUNTA($E81:E$1052))</f>
        <v>372</v>
      </c>
      <c r="B81" s="22" t="s">
        <v>1744</v>
      </c>
      <c r="C81" s="21" t="s">
        <v>1745</v>
      </c>
      <c r="D81" s="243" t="s">
        <v>172</v>
      </c>
      <c r="E81" s="85">
        <v>194545</v>
      </c>
      <c r="F81" s="85">
        <v>194545</v>
      </c>
      <c r="G81" s="127">
        <f t="shared" si="1"/>
        <v>0</v>
      </c>
    </row>
    <row r="82" spans="1:7" s="56" customFormat="1" ht="16.5" customHeight="1">
      <c r="A82" s="3">
        <f>IF(E82="","",COUNTA($E82:E$1052))</f>
        <v>371</v>
      </c>
      <c r="B82" s="22" t="s">
        <v>1748</v>
      </c>
      <c r="C82" s="21" t="s">
        <v>1745</v>
      </c>
      <c r="D82" s="243"/>
      <c r="E82" s="85">
        <v>207273</v>
      </c>
      <c r="F82" s="85">
        <v>207273</v>
      </c>
      <c r="G82" s="127">
        <f t="shared" si="1"/>
        <v>0</v>
      </c>
    </row>
    <row r="83" spans="1:7" s="56" customFormat="1" ht="16.5">
      <c r="A83" s="3">
        <f>IF(E83="","",COUNTA($E83:E$1052))</f>
        <v>370</v>
      </c>
      <c r="B83" s="22" t="s">
        <v>1749</v>
      </c>
      <c r="C83" s="21" t="s">
        <v>1745</v>
      </c>
      <c r="D83" s="243" t="s">
        <v>171</v>
      </c>
      <c r="E83" s="85">
        <v>170000</v>
      </c>
      <c r="F83" s="85">
        <v>170000</v>
      </c>
      <c r="G83" s="127">
        <f t="shared" si="1"/>
        <v>0</v>
      </c>
    </row>
    <row r="84" spans="1:7" s="56" customFormat="1" ht="16.5">
      <c r="A84" s="3">
        <f>IF(E84="","",COUNTA($E84:E$1052))</f>
        <v>369</v>
      </c>
      <c r="B84" s="22" t="s">
        <v>1750</v>
      </c>
      <c r="C84" s="21" t="s">
        <v>1745</v>
      </c>
      <c r="D84" s="243"/>
      <c r="E84" s="85">
        <v>192727</v>
      </c>
      <c r="F84" s="85">
        <v>192727</v>
      </c>
      <c r="G84" s="127">
        <f t="shared" si="1"/>
        <v>0</v>
      </c>
    </row>
    <row r="85" spans="1:7" s="56" customFormat="1" ht="16.5" customHeight="1">
      <c r="A85" s="3">
        <f>IF(E85="","",COUNTA($E85:E$1052))</f>
        <v>368</v>
      </c>
      <c r="B85" s="22" t="s">
        <v>1744</v>
      </c>
      <c r="C85" s="21" t="s">
        <v>1745</v>
      </c>
      <c r="D85" s="243"/>
      <c r="E85" s="85">
        <v>207273</v>
      </c>
      <c r="F85" s="85">
        <v>191818</v>
      </c>
      <c r="G85" s="127">
        <f t="shared" si="1"/>
        <v>-0.07456349838136178</v>
      </c>
    </row>
    <row r="86" spans="1:7" s="56" customFormat="1" ht="16.5">
      <c r="A86" s="3">
        <f>IF(E86="","",COUNTA($E86:E$1052))</f>
        <v>367</v>
      </c>
      <c r="B86" s="22" t="s">
        <v>1748</v>
      </c>
      <c r="C86" s="21" t="s">
        <v>1745</v>
      </c>
      <c r="D86" s="243"/>
      <c r="E86" s="85">
        <v>219091</v>
      </c>
      <c r="F86" s="85">
        <v>204545</v>
      </c>
      <c r="G86" s="127">
        <f t="shared" si="1"/>
        <v>-0.06639250357157528</v>
      </c>
    </row>
    <row r="87" spans="1:7" s="56" customFormat="1" ht="51.75" customHeight="1">
      <c r="A87" s="3">
        <f>IF(E87="","",COUNTA($E87:E$1052))</f>
      </c>
      <c r="B87" s="31" t="s">
        <v>1458</v>
      </c>
      <c r="C87" s="21"/>
      <c r="D87" s="62"/>
      <c r="E87" s="85"/>
      <c r="F87" s="85"/>
      <c r="G87" s="127"/>
    </row>
    <row r="88" spans="1:7" s="56" customFormat="1" ht="16.5">
      <c r="A88" s="3">
        <f>IF(E88="","",COUNTA($E88:E$1052))</f>
        <v>366</v>
      </c>
      <c r="B88" s="58" t="s">
        <v>1459</v>
      </c>
      <c r="C88" s="21" t="s">
        <v>1745</v>
      </c>
      <c r="D88" s="243" t="s">
        <v>1460</v>
      </c>
      <c r="E88" s="85">
        <v>194545</v>
      </c>
      <c r="F88" s="85">
        <v>190000</v>
      </c>
      <c r="G88" s="127">
        <f t="shared" si="1"/>
        <v>-0.023362204117299338</v>
      </c>
    </row>
    <row r="89" spans="1:7" s="56" customFormat="1" ht="16.5">
      <c r="A89" s="3">
        <f>IF(E89="","",COUNTA($E89:E$1052))</f>
        <v>365</v>
      </c>
      <c r="B89" s="58" t="s">
        <v>1461</v>
      </c>
      <c r="C89" s="21" t="s">
        <v>1745</v>
      </c>
      <c r="D89" s="243"/>
      <c r="E89" s="85">
        <v>209091</v>
      </c>
      <c r="F89" s="85">
        <v>204545</v>
      </c>
      <c r="G89" s="127">
        <f t="shared" si="1"/>
        <v>-0.021741729677508835</v>
      </c>
    </row>
    <row r="90" spans="1:7" s="56" customFormat="1" ht="16.5">
      <c r="A90" s="3">
        <f>IF(E90="","",COUNTA($E90:E$1052))</f>
        <v>364</v>
      </c>
      <c r="B90" s="58" t="s">
        <v>1459</v>
      </c>
      <c r="C90" s="21" t="s">
        <v>1745</v>
      </c>
      <c r="D90" s="247" t="s">
        <v>1462</v>
      </c>
      <c r="E90" s="85">
        <v>224545</v>
      </c>
      <c r="F90" s="85">
        <v>228182</v>
      </c>
      <c r="G90" s="127">
        <f t="shared" si="1"/>
        <v>0.016197198779754615</v>
      </c>
    </row>
    <row r="91" spans="1:7" s="56" customFormat="1" ht="16.5">
      <c r="A91" s="3">
        <f>IF(E91="","",COUNTA($E91:E$1052))</f>
        <v>363</v>
      </c>
      <c r="B91" s="58" t="s">
        <v>1461</v>
      </c>
      <c r="C91" s="21" t="s">
        <v>1745</v>
      </c>
      <c r="D91" s="247"/>
      <c r="E91" s="85">
        <v>250909</v>
      </c>
      <c r="F91" s="85">
        <v>248182</v>
      </c>
      <c r="G91" s="127">
        <f t="shared" si="1"/>
        <v>-0.010868482198725434</v>
      </c>
    </row>
    <row r="92" spans="1:7" s="56" customFormat="1" ht="16.5">
      <c r="A92" s="3">
        <f>IF(E92="","",COUNTA($E92:E$1052))</f>
        <v>362</v>
      </c>
      <c r="B92" s="58" t="s">
        <v>1463</v>
      </c>
      <c r="C92" s="21" t="s">
        <v>1745</v>
      </c>
      <c r="D92" s="247"/>
      <c r="E92" s="85">
        <v>270000</v>
      </c>
      <c r="F92" s="85">
        <v>267273</v>
      </c>
      <c r="G92" s="127">
        <f t="shared" si="1"/>
        <v>-0.0101</v>
      </c>
    </row>
    <row r="93" spans="1:7" s="56" customFormat="1" ht="16.5">
      <c r="A93" s="3">
        <f>IF(E93="","",COUNTA($E93:E$1052))</f>
        <v>361</v>
      </c>
      <c r="B93" s="58" t="s">
        <v>1459</v>
      </c>
      <c r="C93" s="21" t="s">
        <v>1745</v>
      </c>
      <c r="D93" s="247" t="s">
        <v>1464</v>
      </c>
      <c r="E93" s="85">
        <v>217273</v>
      </c>
      <c r="F93" s="85">
        <v>213636</v>
      </c>
      <c r="G93" s="127">
        <f t="shared" si="1"/>
        <v>-0.01673930953224745</v>
      </c>
    </row>
    <row r="94" spans="1:7" s="56" customFormat="1" ht="16.5" customHeight="1">
      <c r="A94" s="3">
        <f>IF(E94="","",COUNTA($E94:E$1052))</f>
        <v>360</v>
      </c>
      <c r="B94" s="58" t="s">
        <v>1465</v>
      </c>
      <c r="C94" s="21" t="s">
        <v>1745</v>
      </c>
      <c r="D94" s="247"/>
      <c r="E94" s="85">
        <v>231818</v>
      </c>
      <c r="F94" s="85">
        <v>228182</v>
      </c>
      <c r="G94" s="127">
        <f t="shared" si="1"/>
        <v>-0.015684718184092693</v>
      </c>
    </row>
    <row r="95" spans="1:7" s="56" customFormat="1" ht="16.5">
      <c r="A95" s="3">
        <f>IF(E95="","",COUNTA($E95:E$1052))</f>
        <v>359</v>
      </c>
      <c r="B95" s="58" t="s">
        <v>1466</v>
      </c>
      <c r="C95" s="21" t="s">
        <v>1745</v>
      </c>
      <c r="D95" s="247" t="s">
        <v>1467</v>
      </c>
      <c r="E95" s="85">
        <v>167273</v>
      </c>
      <c r="F95" s="85">
        <v>164545</v>
      </c>
      <c r="G95" s="127">
        <f t="shared" si="1"/>
        <v>-0.016308669061952618</v>
      </c>
    </row>
    <row r="96" spans="1:7" s="56" customFormat="1" ht="16.5" customHeight="1">
      <c r="A96" s="3">
        <f>IF(E96="","",COUNTA($E96:E$1052))</f>
        <v>358</v>
      </c>
      <c r="B96" s="58" t="s">
        <v>1468</v>
      </c>
      <c r="C96" s="21" t="s">
        <v>1745</v>
      </c>
      <c r="D96" s="247"/>
      <c r="E96" s="85">
        <v>178182</v>
      </c>
      <c r="F96" s="85">
        <v>176364</v>
      </c>
      <c r="G96" s="127">
        <f t="shared" si="1"/>
        <v>-0.010203050813213457</v>
      </c>
    </row>
    <row r="97" spans="1:7" s="56" customFormat="1" ht="16.5">
      <c r="A97" s="3">
        <f>IF(E97="","",COUNTA($E97:E$1052))</f>
        <v>357</v>
      </c>
      <c r="B97" s="58" t="s">
        <v>1459</v>
      </c>
      <c r="C97" s="21" t="s">
        <v>1745</v>
      </c>
      <c r="D97" s="247"/>
      <c r="E97" s="85">
        <v>190000</v>
      </c>
      <c r="F97" s="85">
        <v>186364</v>
      </c>
      <c r="G97" s="127">
        <f t="shared" si="1"/>
        <v>-0.019136842105263157</v>
      </c>
    </row>
    <row r="98" spans="1:7" s="56" customFormat="1" ht="16.5">
      <c r="A98" s="3">
        <f>IF(E98="","",COUNTA($E98:E$1052))</f>
        <v>356</v>
      </c>
      <c r="B98" s="58" t="s">
        <v>1469</v>
      </c>
      <c r="C98" s="21" t="s">
        <v>1745</v>
      </c>
      <c r="D98" s="247"/>
      <c r="E98" s="85">
        <v>197273</v>
      </c>
      <c r="F98" s="85">
        <v>197273</v>
      </c>
      <c r="G98" s="127">
        <f aca="true" t="shared" si="2" ref="G98:G161">(F98-E98)/E98</f>
        <v>0</v>
      </c>
    </row>
    <row r="99" spans="1:7" s="56" customFormat="1" ht="16.5">
      <c r="A99" s="3">
        <f>IF(E99="","",COUNTA($E99:E$1052))</f>
        <v>355</v>
      </c>
      <c r="B99" s="58" t="s">
        <v>1465</v>
      </c>
      <c r="C99" s="21" t="s">
        <v>1745</v>
      </c>
      <c r="D99" s="247"/>
      <c r="E99" s="85">
        <v>202727</v>
      </c>
      <c r="F99" s="85">
        <v>200909</v>
      </c>
      <c r="G99" s="127">
        <f t="shared" si="2"/>
        <v>-0.008967725068688433</v>
      </c>
    </row>
    <row r="100" spans="1:7" s="56" customFormat="1" ht="16.5" customHeight="1">
      <c r="A100" s="3">
        <f>IF(E100="","",COUNTA($E100:E$1052))</f>
        <v>354</v>
      </c>
      <c r="B100" s="58" t="s">
        <v>1459</v>
      </c>
      <c r="C100" s="21" t="s">
        <v>1745</v>
      </c>
      <c r="D100" s="247" t="s">
        <v>172</v>
      </c>
      <c r="E100" s="85">
        <v>188182</v>
      </c>
      <c r="F100" s="85">
        <v>184545</v>
      </c>
      <c r="G100" s="127">
        <f t="shared" si="2"/>
        <v>-0.019327034466633367</v>
      </c>
    </row>
    <row r="101" spans="1:7" s="56" customFormat="1" ht="16.5">
      <c r="A101" s="3">
        <f>IF(E101="","",COUNTA($E101:E$1052))</f>
        <v>353</v>
      </c>
      <c r="B101" s="58" t="s">
        <v>1465</v>
      </c>
      <c r="C101" s="21" t="s">
        <v>1745</v>
      </c>
      <c r="D101" s="247"/>
      <c r="E101" s="85">
        <v>200000</v>
      </c>
      <c r="F101" s="85">
        <v>197273</v>
      </c>
      <c r="G101" s="127">
        <f t="shared" si="2"/>
        <v>-0.013635</v>
      </c>
    </row>
    <row r="102" spans="1:7" s="56" customFormat="1" ht="16.5">
      <c r="A102" s="3">
        <f>IF(E102="","",COUNTA($E102:E$1052))</f>
        <v>352</v>
      </c>
      <c r="B102" s="58" t="s">
        <v>1466</v>
      </c>
      <c r="C102" s="21" t="s">
        <v>1745</v>
      </c>
      <c r="D102" s="247" t="s">
        <v>1470</v>
      </c>
      <c r="E102" s="85">
        <v>148182</v>
      </c>
      <c r="F102" s="85">
        <v>144545</v>
      </c>
      <c r="G102" s="127">
        <f t="shared" si="2"/>
        <v>-0.02454414166362986</v>
      </c>
    </row>
    <row r="103" spans="1:7" s="56" customFormat="1" ht="16.5">
      <c r="A103" s="3">
        <f>IF(E103="","",COUNTA($E103:E$1052))</f>
        <v>351</v>
      </c>
      <c r="B103" s="58" t="s">
        <v>1468</v>
      </c>
      <c r="C103" s="21" t="s">
        <v>1745</v>
      </c>
      <c r="D103" s="247"/>
      <c r="E103" s="85">
        <v>155455</v>
      </c>
      <c r="F103" s="85">
        <v>158182</v>
      </c>
      <c r="G103" s="127">
        <f t="shared" si="2"/>
        <v>0.017542053970602427</v>
      </c>
    </row>
    <row r="104" spans="1:7" s="56" customFormat="1" ht="16.5">
      <c r="A104" s="3">
        <f>IF(E104="","",COUNTA($E104:E$1052))</f>
        <v>350</v>
      </c>
      <c r="B104" s="58" t="s">
        <v>1459</v>
      </c>
      <c r="C104" s="21" t="s">
        <v>1745</v>
      </c>
      <c r="D104" s="247"/>
      <c r="E104" s="85">
        <v>171818</v>
      </c>
      <c r="F104" s="85">
        <v>169091</v>
      </c>
      <c r="G104" s="127">
        <f t="shared" si="2"/>
        <v>-0.015871445366608852</v>
      </c>
    </row>
    <row r="105" spans="1:7" s="56" customFormat="1" ht="16.5" customHeight="1">
      <c r="A105" s="3">
        <f>IF(E105="","",COUNTA($E105:E$1052))</f>
        <v>349</v>
      </c>
      <c r="B105" s="58" t="s">
        <v>1465</v>
      </c>
      <c r="C105" s="21" t="s">
        <v>1745</v>
      </c>
      <c r="D105" s="247"/>
      <c r="E105" s="85">
        <v>188182</v>
      </c>
      <c r="F105" s="85">
        <v>184545</v>
      </c>
      <c r="G105" s="127">
        <f t="shared" si="2"/>
        <v>-0.019327034466633367</v>
      </c>
    </row>
    <row r="106" spans="1:7" s="56" customFormat="1" ht="69" customHeight="1">
      <c r="A106" s="3">
        <f>IF(E106="","",COUNTA($E106:E$1052))</f>
      </c>
      <c r="B106" s="31" t="s">
        <v>1472</v>
      </c>
      <c r="C106" s="20"/>
      <c r="D106" s="62"/>
      <c r="E106" s="85"/>
      <c r="F106" s="85"/>
      <c r="G106" s="127"/>
    </row>
    <row r="107" spans="1:7" s="56" customFormat="1" ht="16.5" customHeight="1">
      <c r="A107" s="3">
        <f>IF(E107="","",COUNTA($E107:E$1052))</f>
        <v>348</v>
      </c>
      <c r="B107" s="58" t="s">
        <v>1473</v>
      </c>
      <c r="C107" s="21" t="s">
        <v>1745</v>
      </c>
      <c r="D107" s="247" t="s">
        <v>1474</v>
      </c>
      <c r="E107" s="85">
        <v>140000</v>
      </c>
      <c r="F107" s="85">
        <v>140000</v>
      </c>
      <c r="G107" s="127">
        <f t="shared" si="2"/>
        <v>0</v>
      </c>
    </row>
    <row r="108" spans="1:7" s="56" customFormat="1" ht="16.5">
      <c r="A108" s="3">
        <f>IF(E108="","",COUNTA($E108:E$1052))</f>
        <v>347</v>
      </c>
      <c r="B108" s="58" t="s">
        <v>1475</v>
      </c>
      <c r="C108" s="21" t="s">
        <v>1745</v>
      </c>
      <c r="D108" s="247"/>
      <c r="E108" s="85">
        <v>156364</v>
      </c>
      <c r="F108" s="85">
        <v>156364</v>
      </c>
      <c r="G108" s="127">
        <f t="shared" si="2"/>
        <v>0</v>
      </c>
    </row>
    <row r="109" spans="1:7" s="56" customFormat="1" ht="16.5" customHeight="1">
      <c r="A109" s="3">
        <f>IF(E109="","",COUNTA($E109:E$1052))</f>
        <v>346</v>
      </c>
      <c r="B109" s="58" t="s">
        <v>1473</v>
      </c>
      <c r="C109" s="21" t="s">
        <v>1745</v>
      </c>
      <c r="D109" s="247" t="s">
        <v>1756</v>
      </c>
      <c r="E109" s="85">
        <v>161818</v>
      </c>
      <c r="F109" s="85">
        <v>168182</v>
      </c>
      <c r="G109" s="127">
        <f t="shared" si="2"/>
        <v>0.039328134076555145</v>
      </c>
    </row>
    <row r="110" spans="1:7" s="56" customFormat="1" ht="16.5">
      <c r="A110" s="3">
        <f>IF(E110="","",COUNTA($E110:E$1052))</f>
        <v>345</v>
      </c>
      <c r="B110" s="58" t="s">
        <v>1476</v>
      </c>
      <c r="C110" s="21" t="s">
        <v>1745</v>
      </c>
      <c r="D110" s="247"/>
      <c r="E110" s="85">
        <v>181818</v>
      </c>
      <c r="F110" s="85">
        <v>185455</v>
      </c>
      <c r="G110" s="127">
        <f t="shared" si="2"/>
        <v>0.020003520003520004</v>
      </c>
    </row>
    <row r="111" spans="1:7" s="56" customFormat="1" ht="16.5">
      <c r="A111" s="3">
        <f>IF(E111="","",COUNTA($E111:E$1052))</f>
        <v>344</v>
      </c>
      <c r="B111" s="58" t="s">
        <v>427</v>
      </c>
      <c r="C111" s="21" t="s">
        <v>1745</v>
      </c>
      <c r="D111" s="57"/>
      <c r="E111" s="85">
        <v>210000</v>
      </c>
      <c r="F111" s="85">
        <v>210000</v>
      </c>
      <c r="G111" s="127">
        <f t="shared" si="2"/>
        <v>0</v>
      </c>
    </row>
    <row r="112" spans="1:7" s="56" customFormat="1" ht="16.5">
      <c r="A112" s="3">
        <f>IF(E112="","",COUNTA($E112:E$1052))</f>
        <v>343</v>
      </c>
      <c r="B112" s="58" t="s">
        <v>428</v>
      </c>
      <c r="C112" s="21" t="s">
        <v>1745</v>
      </c>
      <c r="D112" s="247" t="s">
        <v>429</v>
      </c>
      <c r="E112" s="85">
        <v>157273</v>
      </c>
      <c r="F112" s="85">
        <v>157273</v>
      </c>
      <c r="G112" s="127">
        <f t="shared" si="2"/>
        <v>0</v>
      </c>
    </row>
    <row r="113" spans="1:7" s="56" customFormat="1" ht="16.5">
      <c r="A113" s="3">
        <f>IF(E113="","",COUNTA($E113:E$1052))</f>
        <v>342</v>
      </c>
      <c r="B113" s="58" t="s">
        <v>1476</v>
      </c>
      <c r="C113" s="21" t="s">
        <v>1745</v>
      </c>
      <c r="D113" s="247"/>
      <c r="E113" s="85">
        <v>172727</v>
      </c>
      <c r="F113" s="85">
        <v>172727</v>
      </c>
      <c r="G113" s="127">
        <f t="shared" si="2"/>
        <v>0</v>
      </c>
    </row>
    <row r="114" spans="1:7" s="56" customFormat="1" ht="16.5">
      <c r="A114" s="3">
        <f>IF(E114="","",COUNTA($E114:E$1052))</f>
        <v>341</v>
      </c>
      <c r="B114" s="58" t="s">
        <v>430</v>
      </c>
      <c r="C114" s="21" t="s">
        <v>1745</v>
      </c>
      <c r="D114" s="247" t="s">
        <v>431</v>
      </c>
      <c r="E114" s="85">
        <v>106364</v>
      </c>
      <c r="F114" s="85">
        <v>100909</v>
      </c>
      <c r="G114" s="127">
        <f t="shared" si="2"/>
        <v>-0.051286149449061715</v>
      </c>
    </row>
    <row r="115" spans="1:7" s="56" customFormat="1" ht="16.5">
      <c r="A115" s="3">
        <f>IF(E115="","",COUNTA($E115:E$1052))</f>
        <v>340</v>
      </c>
      <c r="B115" s="58" t="s">
        <v>432</v>
      </c>
      <c r="C115" s="21" t="s">
        <v>1745</v>
      </c>
      <c r="D115" s="247"/>
      <c r="E115" s="85">
        <v>119091</v>
      </c>
      <c r="F115" s="85">
        <v>115455</v>
      </c>
      <c r="G115" s="127">
        <f t="shared" si="2"/>
        <v>-0.030531274403607325</v>
      </c>
    </row>
    <row r="116" spans="1:7" s="56" customFormat="1" ht="16.5">
      <c r="A116" s="3">
        <f>IF(E116="","",COUNTA($E116:E$1052))</f>
        <v>339</v>
      </c>
      <c r="B116" s="58" t="s">
        <v>428</v>
      </c>
      <c r="C116" s="21" t="s">
        <v>1745</v>
      </c>
      <c r="D116" s="247"/>
      <c r="E116" s="85">
        <v>130909</v>
      </c>
      <c r="F116" s="85">
        <v>127273</v>
      </c>
      <c r="G116" s="127">
        <f t="shared" si="2"/>
        <v>-0.027775019288207838</v>
      </c>
    </row>
    <row r="117" spans="1:7" s="56" customFormat="1" ht="16.5">
      <c r="A117" s="3">
        <f>IF(E117="","",COUNTA($E117:E$1052))</f>
        <v>338</v>
      </c>
      <c r="B117" s="58" t="s">
        <v>433</v>
      </c>
      <c r="C117" s="21" t="s">
        <v>1745</v>
      </c>
      <c r="D117" s="247"/>
      <c r="E117" s="85">
        <v>139091</v>
      </c>
      <c r="F117" s="85">
        <v>136364</v>
      </c>
      <c r="G117" s="127">
        <f t="shared" si="2"/>
        <v>-0.01960586953864736</v>
      </c>
    </row>
    <row r="118" spans="1:7" s="56" customFormat="1" ht="16.5">
      <c r="A118" s="3">
        <f>IF(E118="","",COUNTA($E118:E$1052))</f>
        <v>337</v>
      </c>
      <c r="B118" s="58" t="s">
        <v>1476</v>
      </c>
      <c r="C118" s="21" t="s">
        <v>1745</v>
      </c>
      <c r="D118" s="247"/>
      <c r="E118" s="85">
        <v>142727</v>
      </c>
      <c r="F118" s="85">
        <v>147273</v>
      </c>
      <c r="G118" s="127">
        <f t="shared" si="2"/>
        <v>0.03185101627582728</v>
      </c>
    </row>
    <row r="119" spans="1:7" s="56" customFormat="1" ht="16.5">
      <c r="A119" s="3">
        <f>IF(E119="","",COUNTA($E119:E$1052))</f>
        <v>336</v>
      </c>
      <c r="B119" s="58" t="s">
        <v>434</v>
      </c>
      <c r="C119" s="21" t="s">
        <v>1745</v>
      </c>
      <c r="D119" s="247" t="s">
        <v>435</v>
      </c>
      <c r="E119" s="85">
        <v>70000</v>
      </c>
      <c r="F119" s="85">
        <v>69091</v>
      </c>
      <c r="G119" s="127">
        <f t="shared" si="2"/>
        <v>-0.012985714285714286</v>
      </c>
    </row>
    <row r="120" spans="1:7" s="56" customFormat="1" ht="16.5">
      <c r="A120" s="3">
        <f>IF(E120="","",COUNTA($E120:E$1052))</f>
        <v>335</v>
      </c>
      <c r="B120" s="58" t="s">
        <v>430</v>
      </c>
      <c r="C120" s="21" t="s">
        <v>1745</v>
      </c>
      <c r="D120" s="247"/>
      <c r="E120" s="85">
        <v>81818</v>
      </c>
      <c r="F120" s="85">
        <v>81818</v>
      </c>
      <c r="G120" s="127">
        <f t="shared" si="2"/>
        <v>0</v>
      </c>
    </row>
    <row r="121" spans="1:7" s="56" customFormat="1" ht="16.5">
      <c r="A121" s="3">
        <f>IF(E121="","",COUNTA($E121:E$1052))</f>
        <v>334</v>
      </c>
      <c r="B121" s="58" t="s">
        <v>432</v>
      </c>
      <c r="C121" s="21" t="s">
        <v>1745</v>
      </c>
      <c r="D121" s="247"/>
      <c r="E121" s="85">
        <v>96364</v>
      </c>
      <c r="F121" s="85">
        <v>95455</v>
      </c>
      <c r="G121" s="127">
        <f t="shared" si="2"/>
        <v>-0.00943298327176124</v>
      </c>
    </row>
    <row r="122" spans="1:7" s="56" customFormat="1" ht="16.5">
      <c r="A122" s="3">
        <f>IF(E122="","",COUNTA($E122:E$1052))</f>
        <v>333</v>
      </c>
      <c r="B122" s="58" t="s">
        <v>428</v>
      </c>
      <c r="C122" s="21" t="s">
        <v>1745</v>
      </c>
      <c r="D122" s="247"/>
      <c r="E122" s="85">
        <v>108182</v>
      </c>
      <c r="F122" s="85">
        <v>102727</v>
      </c>
      <c r="G122" s="127">
        <f t="shared" si="2"/>
        <v>-0.05042428500120168</v>
      </c>
    </row>
    <row r="123" spans="1:7" s="56" customFormat="1" ht="16.5">
      <c r="A123" s="3">
        <f>IF(E123="","",COUNTA($E123:E$1052))</f>
        <v>332</v>
      </c>
      <c r="B123" s="58" t="s">
        <v>1476</v>
      </c>
      <c r="C123" s="21" t="s">
        <v>1745</v>
      </c>
      <c r="D123" s="247"/>
      <c r="E123" s="85">
        <v>123636</v>
      </c>
      <c r="F123" s="85">
        <v>122727</v>
      </c>
      <c r="G123" s="127">
        <f t="shared" si="2"/>
        <v>-0.00735222750655149</v>
      </c>
    </row>
    <row r="124" spans="1:7" s="56" customFormat="1" ht="16.5">
      <c r="A124" s="3">
        <f>IF(E124="","",COUNTA($E124:E$1052))</f>
        <v>331</v>
      </c>
      <c r="B124" s="58" t="s">
        <v>428</v>
      </c>
      <c r="C124" s="21" t="s">
        <v>1745</v>
      </c>
      <c r="D124" s="247" t="s">
        <v>1754</v>
      </c>
      <c r="E124" s="85">
        <v>123636</v>
      </c>
      <c r="F124" s="85">
        <v>123636</v>
      </c>
      <c r="G124" s="127">
        <f t="shared" si="2"/>
        <v>0</v>
      </c>
    </row>
    <row r="125" spans="1:7" s="56" customFormat="1" ht="16.5">
      <c r="A125" s="3">
        <f>IF(E125="","",COUNTA($E125:E$1052))</f>
        <v>330</v>
      </c>
      <c r="B125" s="58" t="s">
        <v>1476</v>
      </c>
      <c r="C125" s="21" t="s">
        <v>1745</v>
      </c>
      <c r="D125" s="247"/>
      <c r="E125" s="85">
        <v>138182</v>
      </c>
      <c r="F125" s="85">
        <v>138182</v>
      </c>
      <c r="G125" s="127">
        <f t="shared" si="2"/>
        <v>0</v>
      </c>
    </row>
    <row r="126" spans="1:7" s="56" customFormat="1" ht="16.5">
      <c r="A126" s="3">
        <f>IF(E126="","",COUNTA($E126:E$1052))</f>
        <v>329</v>
      </c>
      <c r="B126" s="58" t="s">
        <v>427</v>
      </c>
      <c r="C126" s="21" t="s">
        <v>1745</v>
      </c>
      <c r="D126" s="247"/>
      <c r="E126" s="85">
        <v>152727</v>
      </c>
      <c r="F126" s="85">
        <v>152727</v>
      </c>
      <c r="G126" s="127">
        <f t="shared" si="2"/>
        <v>0</v>
      </c>
    </row>
    <row r="127" spans="1:7" s="56" customFormat="1" ht="49.5">
      <c r="A127" s="3">
        <f>IF(E127="","",COUNTA($E127:E$1052))</f>
        <v>328</v>
      </c>
      <c r="B127" s="58" t="s">
        <v>430</v>
      </c>
      <c r="C127" s="21" t="s">
        <v>1745</v>
      </c>
      <c r="D127" s="57" t="s">
        <v>436</v>
      </c>
      <c r="E127" s="85">
        <v>91818</v>
      </c>
      <c r="F127" s="85">
        <v>90000</v>
      </c>
      <c r="G127" s="127">
        <f t="shared" si="2"/>
        <v>-0.019800039207998433</v>
      </c>
    </row>
    <row r="128" spans="1:7" s="56" customFormat="1" ht="34.5">
      <c r="A128" s="3">
        <f>IF(E128="","",COUNTA($E128:E$1052))</f>
      </c>
      <c r="B128" s="31" t="s">
        <v>1752</v>
      </c>
      <c r="C128" s="20"/>
      <c r="D128" s="62"/>
      <c r="E128" s="85"/>
      <c r="F128" s="85"/>
      <c r="G128" s="127"/>
    </row>
    <row r="129" spans="1:7" s="56" customFormat="1" ht="16.5">
      <c r="A129" s="3">
        <f>IF(E129="","",COUNTA($E129:E$1052))</f>
        <v>327</v>
      </c>
      <c r="B129" s="22" t="s">
        <v>1744</v>
      </c>
      <c r="C129" s="21" t="s">
        <v>1745</v>
      </c>
      <c r="D129" s="268" t="s">
        <v>961</v>
      </c>
      <c r="E129" s="85">
        <v>135455</v>
      </c>
      <c r="F129" s="85">
        <v>135455</v>
      </c>
      <c r="G129" s="127">
        <f t="shared" si="2"/>
        <v>0</v>
      </c>
    </row>
    <row r="130" spans="1:7" s="56" customFormat="1" ht="16.5">
      <c r="A130" s="3">
        <f>IF(E130="","",COUNTA($E130:E$1052))</f>
        <v>326</v>
      </c>
      <c r="B130" s="22" t="s">
        <v>1746</v>
      </c>
      <c r="C130" s="21" t="s">
        <v>1745</v>
      </c>
      <c r="D130" s="269"/>
      <c r="E130" s="85">
        <v>150909</v>
      </c>
      <c r="F130" s="85">
        <v>150909</v>
      </c>
      <c r="G130" s="127">
        <f t="shared" si="2"/>
        <v>0</v>
      </c>
    </row>
    <row r="131" spans="1:7" s="56" customFormat="1" ht="16.5">
      <c r="A131" s="3">
        <f>IF(E131="","",COUNTA($E131:E$1052))</f>
        <v>325</v>
      </c>
      <c r="B131" s="22" t="s">
        <v>1744</v>
      </c>
      <c r="C131" s="21" t="s">
        <v>1745</v>
      </c>
      <c r="D131" s="243" t="s">
        <v>1756</v>
      </c>
      <c r="E131" s="85">
        <v>157273</v>
      </c>
      <c r="F131" s="85">
        <v>162727</v>
      </c>
      <c r="G131" s="127">
        <f t="shared" si="2"/>
        <v>0.034678552580544655</v>
      </c>
    </row>
    <row r="132" spans="1:7" s="56" customFormat="1" ht="16.5">
      <c r="A132" s="3">
        <f>IF(E132="","",COUNTA($E132:E$1052))</f>
        <v>324</v>
      </c>
      <c r="B132" s="22" t="s">
        <v>1746</v>
      </c>
      <c r="C132" s="21" t="s">
        <v>1745</v>
      </c>
      <c r="D132" s="243"/>
      <c r="E132" s="85">
        <v>177273</v>
      </c>
      <c r="F132" s="85">
        <v>180000</v>
      </c>
      <c r="G132" s="127">
        <f t="shared" si="2"/>
        <v>0.015383053256841143</v>
      </c>
    </row>
    <row r="133" spans="1:7" s="56" customFormat="1" ht="16.5">
      <c r="A133" s="3">
        <f>IF(E133="","",COUNTA($E133:E$1052))</f>
        <v>323</v>
      </c>
      <c r="B133" s="22" t="s">
        <v>1747</v>
      </c>
      <c r="C133" s="21" t="s">
        <v>1745</v>
      </c>
      <c r="D133" s="243"/>
      <c r="E133" s="85">
        <v>205455</v>
      </c>
      <c r="F133" s="85">
        <v>205455</v>
      </c>
      <c r="G133" s="127">
        <f t="shared" si="2"/>
        <v>0</v>
      </c>
    </row>
    <row r="134" spans="1:7" s="56" customFormat="1" ht="16.5">
      <c r="A134" s="3">
        <f>IF(E134="","",COUNTA($E134:E$1052))</f>
        <v>322</v>
      </c>
      <c r="B134" s="22" t="s">
        <v>1744</v>
      </c>
      <c r="C134" s="21" t="s">
        <v>1745</v>
      </c>
      <c r="D134" s="243" t="s">
        <v>429</v>
      </c>
      <c r="E134" s="85">
        <v>151818</v>
      </c>
      <c r="F134" s="85">
        <v>151818</v>
      </c>
      <c r="G134" s="127">
        <f t="shared" si="2"/>
        <v>0</v>
      </c>
    </row>
    <row r="135" spans="1:7" s="56" customFormat="1" ht="16.5">
      <c r="A135" s="3">
        <f>IF(E135="","",COUNTA($E135:E$1052))</f>
        <v>321</v>
      </c>
      <c r="B135" s="22" t="s">
        <v>1746</v>
      </c>
      <c r="C135" s="21" t="s">
        <v>1745</v>
      </c>
      <c r="D135" s="243"/>
      <c r="E135" s="85">
        <v>168182</v>
      </c>
      <c r="F135" s="85">
        <v>168182</v>
      </c>
      <c r="G135" s="127">
        <f t="shared" si="2"/>
        <v>0</v>
      </c>
    </row>
    <row r="136" spans="1:7" s="56" customFormat="1" ht="16.5">
      <c r="A136" s="3">
        <f>IF(E136="","",COUNTA($E136:E$1052))</f>
        <v>320</v>
      </c>
      <c r="B136" s="22" t="s">
        <v>1749</v>
      </c>
      <c r="C136" s="21" t="s">
        <v>1745</v>
      </c>
      <c r="D136" s="243" t="s">
        <v>1757</v>
      </c>
      <c r="E136" s="85">
        <v>100909</v>
      </c>
      <c r="F136" s="85">
        <v>96364</v>
      </c>
      <c r="G136" s="127">
        <f t="shared" si="2"/>
        <v>-0.04504058111764064</v>
      </c>
    </row>
    <row r="137" spans="1:7" s="56" customFormat="1" ht="16.5">
      <c r="A137" s="3">
        <f>IF(E137="","",COUNTA($E137:E$1052))</f>
        <v>319</v>
      </c>
      <c r="B137" s="22" t="s">
        <v>1750</v>
      </c>
      <c r="C137" s="21" t="s">
        <v>1745</v>
      </c>
      <c r="D137" s="243"/>
      <c r="E137" s="85">
        <v>113636</v>
      </c>
      <c r="F137" s="85">
        <v>110000</v>
      </c>
      <c r="G137" s="127">
        <f t="shared" si="2"/>
        <v>-0.03199690239008765</v>
      </c>
    </row>
    <row r="138" spans="1:7" s="56" customFormat="1" ht="16.5">
      <c r="A138" s="3">
        <f>IF(E138="","",COUNTA($E138:E$1052))</f>
        <v>318</v>
      </c>
      <c r="B138" s="22" t="s">
        <v>1744</v>
      </c>
      <c r="C138" s="21" t="s">
        <v>1745</v>
      </c>
      <c r="D138" s="243"/>
      <c r="E138" s="85">
        <v>126364</v>
      </c>
      <c r="F138" s="85">
        <v>121818</v>
      </c>
      <c r="G138" s="127">
        <f t="shared" si="2"/>
        <v>-0.03597543604191067</v>
      </c>
    </row>
    <row r="139" spans="1:7" s="56" customFormat="1" ht="16.5">
      <c r="A139" s="3">
        <f>IF(E139="","",COUNTA($E139:E$1052))</f>
        <v>317</v>
      </c>
      <c r="B139" s="22" t="s">
        <v>1751</v>
      </c>
      <c r="C139" s="21" t="s">
        <v>1745</v>
      </c>
      <c r="D139" s="243"/>
      <c r="E139" s="85">
        <v>133636</v>
      </c>
      <c r="F139" s="85">
        <v>130909</v>
      </c>
      <c r="G139" s="127">
        <f t="shared" si="2"/>
        <v>-0.02040617797599449</v>
      </c>
    </row>
    <row r="140" spans="1:7" s="56" customFormat="1" ht="16.5">
      <c r="A140" s="3">
        <f>IF(E140="","",COUNTA($E140:E$1052))</f>
        <v>316</v>
      </c>
      <c r="B140" s="22" t="s">
        <v>1748</v>
      </c>
      <c r="C140" s="21" t="s">
        <v>1745</v>
      </c>
      <c r="D140" s="243"/>
      <c r="E140" s="85">
        <v>138182</v>
      </c>
      <c r="F140" s="85">
        <v>135455</v>
      </c>
      <c r="G140" s="127">
        <f t="shared" si="2"/>
        <v>-0.019734842454154664</v>
      </c>
    </row>
    <row r="141" spans="1:7" s="56" customFormat="1" ht="16.5">
      <c r="A141" s="3">
        <f>IF(E141="","",COUNTA($E141:E$1052))</f>
        <v>315</v>
      </c>
      <c r="B141" s="22" t="s">
        <v>1753</v>
      </c>
      <c r="C141" s="21" t="s">
        <v>1745</v>
      </c>
      <c r="D141" s="243" t="s">
        <v>1758</v>
      </c>
      <c r="E141" s="85">
        <v>65455</v>
      </c>
      <c r="F141" s="85">
        <v>63636</v>
      </c>
      <c r="G141" s="127">
        <f t="shared" si="2"/>
        <v>-0.02779008479107784</v>
      </c>
    </row>
    <row r="142" spans="1:7" s="56" customFormat="1" ht="16.5">
      <c r="A142" s="3">
        <f>IF(E142="","",COUNTA($E142:E$1052))</f>
        <v>314</v>
      </c>
      <c r="B142" s="22" t="s">
        <v>1749</v>
      </c>
      <c r="C142" s="21" t="s">
        <v>1745</v>
      </c>
      <c r="D142" s="243"/>
      <c r="E142" s="85">
        <v>77273</v>
      </c>
      <c r="F142" s="85">
        <v>77273</v>
      </c>
      <c r="G142" s="127">
        <f t="shared" si="2"/>
        <v>0</v>
      </c>
    </row>
    <row r="143" spans="1:7" s="56" customFormat="1" ht="16.5">
      <c r="A143" s="3">
        <f>IF(E143="","",COUNTA($E143:E$1052))</f>
        <v>313</v>
      </c>
      <c r="B143" s="22" t="s">
        <v>1750</v>
      </c>
      <c r="C143" s="21" t="s">
        <v>1745</v>
      </c>
      <c r="D143" s="243"/>
      <c r="E143" s="85">
        <v>90909</v>
      </c>
      <c r="F143" s="85">
        <v>90000</v>
      </c>
      <c r="G143" s="127">
        <f t="shared" si="2"/>
        <v>-0.00999900999901</v>
      </c>
    </row>
    <row r="144" spans="1:7" s="56" customFormat="1" ht="16.5">
      <c r="A144" s="3">
        <f>IF(E144="","",COUNTA($E144:E$1052))</f>
        <v>312</v>
      </c>
      <c r="B144" s="22" t="s">
        <v>1744</v>
      </c>
      <c r="C144" s="21" t="s">
        <v>1745</v>
      </c>
      <c r="D144" s="243"/>
      <c r="E144" s="85">
        <v>102727</v>
      </c>
      <c r="F144" s="85">
        <v>98182</v>
      </c>
      <c r="G144" s="127">
        <f t="shared" si="2"/>
        <v>-0.04424348029242556</v>
      </c>
    </row>
    <row r="145" spans="1:7" s="56" customFormat="1" ht="16.5">
      <c r="A145" s="3">
        <f>IF(E145="","",COUNTA($E145:E$1052))</f>
        <v>311</v>
      </c>
      <c r="B145" s="22" t="s">
        <v>1748</v>
      </c>
      <c r="C145" s="21" t="s">
        <v>1745</v>
      </c>
      <c r="D145" s="243"/>
      <c r="E145" s="85">
        <v>119091</v>
      </c>
      <c r="F145" s="85">
        <v>118182</v>
      </c>
      <c r="G145" s="127">
        <f t="shared" si="2"/>
        <v>-0.007632818600901831</v>
      </c>
    </row>
    <row r="146" spans="1:7" s="56" customFormat="1" ht="16.5">
      <c r="A146" s="3">
        <f>IF(E146="","",COUNTA($E146:E$1052))</f>
        <v>310</v>
      </c>
      <c r="B146" s="22" t="s">
        <v>1744</v>
      </c>
      <c r="C146" s="21" t="s">
        <v>1745</v>
      </c>
      <c r="D146" s="243" t="s">
        <v>1754</v>
      </c>
      <c r="E146" s="85">
        <v>119091</v>
      </c>
      <c r="F146" s="85">
        <v>119091</v>
      </c>
      <c r="G146" s="127">
        <f t="shared" si="2"/>
        <v>0</v>
      </c>
    </row>
    <row r="147" spans="1:7" s="56" customFormat="1" ht="16.5">
      <c r="A147" s="3">
        <f>IF(E147="","",COUNTA($E147:E$1052))</f>
        <v>309</v>
      </c>
      <c r="B147" s="22" t="s">
        <v>1748</v>
      </c>
      <c r="C147" s="21" t="s">
        <v>1745</v>
      </c>
      <c r="D147" s="243"/>
      <c r="E147" s="85">
        <v>132727</v>
      </c>
      <c r="F147" s="85">
        <v>132727</v>
      </c>
      <c r="G147" s="127">
        <f t="shared" si="2"/>
        <v>0</v>
      </c>
    </row>
    <row r="148" spans="1:7" s="56" customFormat="1" ht="16.5">
      <c r="A148" s="3">
        <f>IF(E148="","",COUNTA($E148:E$1052))</f>
        <v>308</v>
      </c>
      <c r="B148" s="22" t="s">
        <v>1747</v>
      </c>
      <c r="C148" s="21" t="s">
        <v>1745</v>
      </c>
      <c r="D148" s="243"/>
      <c r="E148" s="85">
        <v>148182</v>
      </c>
      <c r="F148" s="85">
        <v>148182</v>
      </c>
      <c r="G148" s="127">
        <f t="shared" si="2"/>
        <v>0</v>
      </c>
    </row>
    <row r="149" spans="1:7" s="56" customFormat="1" ht="49.5">
      <c r="A149" s="3">
        <f>IF(E149="","",COUNTA($E149:E$1052))</f>
        <v>307</v>
      </c>
      <c r="B149" s="22" t="s">
        <v>1749</v>
      </c>
      <c r="C149" s="21" t="s">
        <v>1745</v>
      </c>
      <c r="D149" s="43" t="s">
        <v>962</v>
      </c>
      <c r="E149" s="85">
        <v>87273</v>
      </c>
      <c r="F149" s="85">
        <v>85455</v>
      </c>
      <c r="G149" s="127">
        <f t="shared" si="2"/>
        <v>-0.02083118490254718</v>
      </c>
    </row>
    <row r="150" spans="1:7" s="56" customFormat="1" ht="17.25" customHeight="1">
      <c r="A150" s="3">
        <f>IF(E150="","",COUNTA($E150:E$1171))</f>
      </c>
      <c r="B150" s="35" t="s">
        <v>1572</v>
      </c>
      <c r="C150" s="3"/>
      <c r="D150" s="62"/>
      <c r="E150" s="16"/>
      <c r="F150" s="16"/>
      <c r="G150" s="127" t="e">
        <f t="shared" si="2"/>
        <v>#DIV/0!</v>
      </c>
    </row>
    <row r="151" spans="1:7" s="56" customFormat="1" ht="16.5">
      <c r="A151" s="3">
        <f>IF(E151="","",COUNTA($E151:E$1171))</f>
        <v>306</v>
      </c>
      <c r="B151" s="24" t="s">
        <v>1564</v>
      </c>
      <c r="C151" s="3" t="s">
        <v>1448</v>
      </c>
      <c r="D151" s="62" t="s">
        <v>1580</v>
      </c>
      <c r="E151" s="113">
        <v>62000</v>
      </c>
      <c r="F151" s="113">
        <v>58000</v>
      </c>
      <c r="G151" s="127">
        <f t="shared" si="2"/>
        <v>-0.06451612903225806</v>
      </c>
    </row>
    <row r="152" spans="1:7" s="56" customFormat="1" ht="16.5">
      <c r="A152" s="3">
        <f>IF(E152="","",COUNTA($E152:E$1171))</f>
        <v>305</v>
      </c>
      <c r="B152" s="24" t="s">
        <v>1564</v>
      </c>
      <c r="C152" s="3" t="s">
        <v>1448</v>
      </c>
      <c r="D152" s="62" t="s">
        <v>1576</v>
      </c>
      <c r="E152" s="113">
        <v>68000</v>
      </c>
      <c r="F152" s="113">
        <v>64000</v>
      </c>
      <c r="G152" s="127">
        <f t="shared" si="2"/>
        <v>-0.058823529411764705</v>
      </c>
    </row>
    <row r="153" spans="1:7" s="56" customFormat="1" ht="16.5">
      <c r="A153" s="3">
        <f>IF(E153="","",COUNTA($E153:E$1171))</f>
        <v>304</v>
      </c>
      <c r="B153" s="24" t="s">
        <v>1564</v>
      </c>
      <c r="C153" s="3" t="s">
        <v>1448</v>
      </c>
      <c r="D153" s="62" t="s">
        <v>1577</v>
      </c>
      <c r="E153" s="113">
        <v>72000</v>
      </c>
      <c r="F153" s="113">
        <v>68000</v>
      </c>
      <c r="G153" s="127">
        <f t="shared" si="2"/>
        <v>-0.05555555555555555</v>
      </c>
    </row>
    <row r="154" spans="1:7" s="56" customFormat="1" ht="16.5">
      <c r="A154" s="3">
        <f>IF(E154="","",COUNTA($E154:E$1171))</f>
        <v>303</v>
      </c>
      <c r="B154" s="24" t="s">
        <v>1564</v>
      </c>
      <c r="C154" s="3" t="s">
        <v>1448</v>
      </c>
      <c r="D154" s="62" t="s">
        <v>1578</v>
      </c>
      <c r="E154" s="113">
        <v>83000</v>
      </c>
      <c r="F154" s="113"/>
      <c r="G154" s="127">
        <f t="shared" si="2"/>
        <v>-1</v>
      </c>
    </row>
    <row r="155" spans="1:7" s="56" customFormat="1" ht="16.5">
      <c r="A155" s="3">
        <f>IF(E155="","",COUNTA($E155:E$1171))</f>
        <v>302</v>
      </c>
      <c r="B155" s="24" t="s">
        <v>1565</v>
      </c>
      <c r="C155" s="3" t="s">
        <v>1448</v>
      </c>
      <c r="D155" s="62" t="s">
        <v>1576</v>
      </c>
      <c r="E155" s="113">
        <v>80000</v>
      </c>
      <c r="F155" s="113">
        <v>71000</v>
      </c>
      <c r="G155" s="127">
        <f t="shared" si="2"/>
        <v>-0.1125</v>
      </c>
    </row>
    <row r="156" spans="1:7" s="56" customFormat="1" ht="16.5">
      <c r="A156" s="3">
        <f>IF(E156="","",COUNTA($E156:E$1171))</f>
        <v>301</v>
      </c>
      <c r="B156" s="24" t="s">
        <v>1565</v>
      </c>
      <c r="C156" s="3" t="s">
        <v>1448</v>
      </c>
      <c r="D156" s="62" t="s">
        <v>1577</v>
      </c>
      <c r="E156" s="113">
        <v>85000</v>
      </c>
      <c r="F156" s="113">
        <v>77000</v>
      </c>
      <c r="G156" s="127">
        <f t="shared" si="2"/>
        <v>-0.09411764705882353</v>
      </c>
    </row>
    <row r="157" spans="1:7" s="56" customFormat="1" ht="16.5">
      <c r="A157" s="3">
        <f>IF(E157="","",COUNTA($E157:E$1171))</f>
        <v>300</v>
      </c>
      <c r="B157" s="24" t="s">
        <v>1566</v>
      </c>
      <c r="C157" s="3" t="s">
        <v>1448</v>
      </c>
      <c r="D157" s="62" t="s">
        <v>1580</v>
      </c>
      <c r="E157" s="113">
        <v>88000</v>
      </c>
      <c r="F157" s="113">
        <v>81000</v>
      </c>
      <c r="G157" s="127">
        <f t="shared" si="2"/>
        <v>-0.07954545454545454</v>
      </c>
    </row>
    <row r="158" spans="1:7" s="56" customFormat="1" ht="16.5">
      <c r="A158" s="3">
        <f>IF(E158="","",COUNTA($E158:E$1171))</f>
        <v>299</v>
      </c>
      <c r="B158" s="24" t="s">
        <v>1566</v>
      </c>
      <c r="C158" s="3" t="s">
        <v>1448</v>
      </c>
      <c r="D158" s="62" t="s">
        <v>1576</v>
      </c>
      <c r="E158" s="113">
        <v>96000</v>
      </c>
      <c r="F158" s="113">
        <v>90000</v>
      </c>
      <c r="G158" s="127">
        <f t="shared" si="2"/>
        <v>-0.0625</v>
      </c>
    </row>
    <row r="159" spans="1:7" s="56" customFormat="1" ht="16.5">
      <c r="A159" s="3">
        <f>IF(E159="","",COUNTA($E159:E$1171))</f>
        <v>298</v>
      </c>
      <c r="B159" s="24" t="s">
        <v>1566</v>
      </c>
      <c r="C159" s="3" t="s">
        <v>1448</v>
      </c>
      <c r="D159" s="62" t="s">
        <v>1577</v>
      </c>
      <c r="E159" s="113">
        <v>103000</v>
      </c>
      <c r="F159" s="113">
        <v>94000</v>
      </c>
      <c r="G159" s="127">
        <f t="shared" si="2"/>
        <v>-0.08737864077669903</v>
      </c>
    </row>
    <row r="160" spans="1:7" s="56" customFormat="1" ht="16.5">
      <c r="A160" s="3">
        <f>IF(E160="","",COUNTA($E160:E$1171))</f>
        <v>297</v>
      </c>
      <c r="B160" s="24" t="s">
        <v>1566</v>
      </c>
      <c r="C160" s="3" t="s">
        <v>1448</v>
      </c>
      <c r="D160" s="62" t="s">
        <v>1578</v>
      </c>
      <c r="E160" s="113">
        <v>118000</v>
      </c>
      <c r="F160" s="113">
        <v>107000</v>
      </c>
      <c r="G160" s="127">
        <f t="shared" si="2"/>
        <v>-0.09322033898305085</v>
      </c>
    </row>
    <row r="161" spans="1:7" s="56" customFormat="1" ht="16.5">
      <c r="A161" s="3">
        <f>IF(E161="","",COUNTA($E161:E$1171))</f>
        <v>296</v>
      </c>
      <c r="B161" s="24" t="s">
        <v>1567</v>
      </c>
      <c r="C161" s="3" t="s">
        <v>1448</v>
      </c>
      <c r="D161" s="62" t="s">
        <v>1580</v>
      </c>
      <c r="E161" s="113">
        <v>90000</v>
      </c>
      <c r="F161" s="113">
        <v>83000</v>
      </c>
      <c r="G161" s="127">
        <f t="shared" si="2"/>
        <v>-0.07777777777777778</v>
      </c>
    </row>
    <row r="162" spans="1:7" s="56" customFormat="1" ht="16.5">
      <c r="A162" s="3">
        <f>IF(E162="","",COUNTA($E162:E$1171))</f>
        <v>295</v>
      </c>
      <c r="B162" s="24" t="s">
        <v>1567</v>
      </c>
      <c r="C162" s="3" t="s">
        <v>1448</v>
      </c>
      <c r="D162" s="62" t="s">
        <v>1576</v>
      </c>
      <c r="E162" s="113">
        <v>98000</v>
      </c>
      <c r="F162" s="113">
        <v>90000</v>
      </c>
      <c r="G162" s="127">
        <f aca="true" t="shared" si="3" ref="G162:G225">(F162-E162)/E162</f>
        <v>-0.08163265306122448</v>
      </c>
    </row>
    <row r="163" spans="1:7" s="56" customFormat="1" ht="16.5">
      <c r="A163" s="3">
        <f>IF(E163="","",COUNTA($E163:E$1171))</f>
        <v>294</v>
      </c>
      <c r="B163" s="24" t="s">
        <v>1567</v>
      </c>
      <c r="C163" s="3" t="s">
        <v>1448</v>
      </c>
      <c r="D163" s="62" t="s">
        <v>1577</v>
      </c>
      <c r="E163" s="113">
        <v>106000</v>
      </c>
      <c r="F163" s="113">
        <v>96000</v>
      </c>
      <c r="G163" s="127">
        <f t="shared" si="3"/>
        <v>-0.09433962264150944</v>
      </c>
    </row>
    <row r="164" spans="1:7" s="56" customFormat="1" ht="16.5">
      <c r="A164" s="3">
        <f>IF(E164="","",COUNTA($E164:E$1171))</f>
        <v>293</v>
      </c>
      <c r="B164" s="24" t="s">
        <v>1567</v>
      </c>
      <c r="C164" s="3" t="s">
        <v>1448</v>
      </c>
      <c r="D164" s="62" t="s">
        <v>1578</v>
      </c>
      <c r="E164" s="113">
        <v>121000</v>
      </c>
      <c r="F164" s="113">
        <v>110000</v>
      </c>
      <c r="G164" s="127">
        <f t="shared" si="3"/>
        <v>-0.09090909090909091</v>
      </c>
    </row>
    <row r="165" spans="1:7" s="56" customFormat="1" ht="16.5">
      <c r="A165" s="3">
        <f>IF(E165="","",COUNTA($E165:E$1171))</f>
        <v>292</v>
      </c>
      <c r="B165" s="24" t="s">
        <v>1568</v>
      </c>
      <c r="C165" s="3" t="s">
        <v>1448</v>
      </c>
      <c r="D165" s="62" t="s">
        <v>1580</v>
      </c>
      <c r="E165" s="113">
        <v>115000</v>
      </c>
      <c r="F165" s="113">
        <v>105000</v>
      </c>
      <c r="G165" s="127">
        <f t="shared" si="3"/>
        <v>-0.08695652173913043</v>
      </c>
    </row>
    <row r="166" spans="1:7" s="56" customFormat="1" ht="16.5">
      <c r="A166" s="3">
        <f>IF(E166="","",COUNTA($E166:E$1171))</f>
        <v>291</v>
      </c>
      <c r="B166" s="24" t="s">
        <v>1568</v>
      </c>
      <c r="C166" s="3" t="s">
        <v>1448</v>
      </c>
      <c r="D166" s="62" t="s">
        <v>1576</v>
      </c>
      <c r="E166" s="113">
        <v>123000</v>
      </c>
      <c r="F166" s="113">
        <v>112000</v>
      </c>
      <c r="G166" s="127">
        <f t="shared" si="3"/>
        <v>-0.08943089430894309</v>
      </c>
    </row>
    <row r="167" spans="1:7" s="56" customFormat="1" ht="16.5">
      <c r="A167" s="3">
        <f>IF(E167="","",COUNTA($E167:E$1171))</f>
        <v>290</v>
      </c>
      <c r="B167" s="24" t="s">
        <v>1568</v>
      </c>
      <c r="C167" s="3" t="s">
        <v>1448</v>
      </c>
      <c r="D167" s="62" t="s">
        <v>1577</v>
      </c>
      <c r="E167" s="113">
        <v>135000</v>
      </c>
      <c r="F167" s="113">
        <v>122000</v>
      </c>
      <c r="G167" s="127">
        <f t="shared" si="3"/>
        <v>-0.0962962962962963</v>
      </c>
    </row>
    <row r="168" spans="1:7" s="56" customFormat="1" ht="16.5">
      <c r="A168" s="3">
        <f>IF(E168="","",COUNTA($E168:E$1171))</f>
        <v>289</v>
      </c>
      <c r="B168" s="24" t="s">
        <v>1568</v>
      </c>
      <c r="C168" s="3" t="s">
        <v>1448</v>
      </c>
      <c r="D168" s="62" t="s">
        <v>1578</v>
      </c>
      <c r="E168" s="113">
        <v>157000</v>
      </c>
      <c r="F168" s="113">
        <v>156000</v>
      </c>
      <c r="G168" s="127">
        <f t="shared" si="3"/>
        <v>-0.006369426751592357</v>
      </c>
    </row>
    <row r="169" spans="1:7" s="56" customFormat="1" ht="16.5">
      <c r="A169" s="3">
        <f>IF(E169="","",COUNTA($E169:E$1171))</f>
        <v>288</v>
      </c>
      <c r="B169" s="24" t="s">
        <v>71</v>
      </c>
      <c r="C169" s="3" t="s">
        <v>1448</v>
      </c>
      <c r="D169" s="62" t="s">
        <v>1580</v>
      </c>
      <c r="E169" s="113">
        <v>135000</v>
      </c>
      <c r="F169" s="113">
        <v>125000</v>
      </c>
      <c r="G169" s="127">
        <f t="shared" si="3"/>
        <v>-0.07407407407407407</v>
      </c>
    </row>
    <row r="170" spans="1:7" s="56" customFormat="1" ht="16.5">
      <c r="A170" s="3">
        <f>IF(E170="","",COUNTA($E170:E$1171))</f>
        <v>287</v>
      </c>
      <c r="B170" s="24" t="s">
        <v>71</v>
      </c>
      <c r="C170" s="3" t="s">
        <v>1448</v>
      </c>
      <c r="D170" s="62" t="s">
        <v>1576</v>
      </c>
      <c r="E170" s="113">
        <v>148000</v>
      </c>
      <c r="F170" s="113">
        <v>134000</v>
      </c>
      <c r="G170" s="127">
        <f t="shared" si="3"/>
        <v>-0.0945945945945946</v>
      </c>
    </row>
    <row r="171" spans="1:7" s="56" customFormat="1" ht="16.5">
      <c r="A171" s="3">
        <f>IF(E171="","",COUNTA($E171:E$1171))</f>
        <v>286</v>
      </c>
      <c r="B171" s="24" t="s">
        <v>71</v>
      </c>
      <c r="C171" s="3" t="s">
        <v>1448</v>
      </c>
      <c r="D171" s="62" t="s">
        <v>1577</v>
      </c>
      <c r="E171" s="113">
        <v>160000</v>
      </c>
      <c r="F171" s="113">
        <v>145000</v>
      </c>
      <c r="G171" s="127">
        <f t="shared" si="3"/>
        <v>-0.09375</v>
      </c>
    </row>
    <row r="172" spans="1:7" s="56" customFormat="1" ht="16.5">
      <c r="A172" s="3">
        <f>IF(E172="","",COUNTA($E172:E$1171))</f>
        <v>285</v>
      </c>
      <c r="B172" s="24" t="s">
        <v>71</v>
      </c>
      <c r="C172" s="3" t="s">
        <v>1448</v>
      </c>
      <c r="D172" s="62" t="s">
        <v>1578</v>
      </c>
      <c r="E172" s="113">
        <v>184000</v>
      </c>
      <c r="F172" s="113">
        <v>172000</v>
      </c>
      <c r="G172" s="127">
        <f t="shared" si="3"/>
        <v>-0.06521739130434782</v>
      </c>
    </row>
    <row r="173" spans="1:7" s="56" customFormat="1" ht="16.5">
      <c r="A173" s="3">
        <f>IF(E173="","",COUNTA($E173:E$1171))</f>
        <v>284</v>
      </c>
      <c r="B173" s="24" t="s">
        <v>1569</v>
      </c>
      <c r="C173" s="3" t="s">
        <v>1448</v>
      </c>
      <c r="D173" s="62" t="s">
        <v>1580</v>
      </c>
      <c r="E173" s="113">
        <v>135000</v>
      </c>
      <c r="F173" s="113">
        <v>123000</v>
      </c>
      <c r="G173" s="127">
        <f t="shared" si="3"/>
        <v>-0.08888888888888889</v>
      </c>
    </row>
    <row r="174" spans="1:7" s="56" customFormat="1" ht="16.5">
      <c r="A174" s="3">
        <f>IF(E174="","",COUNTA($E174:E$1171))</f>
        <v>283</v>
      </c>
      <c r="B174" s="24" t="s">
        <v>1569</v>
      </c>
      <c r="C174" s="3" t="s">
        <v>1448</v>
      </c>
      <c r="D174" s="62" t="s">
        <v>1576</v>
      </c>
      <c r="E174" s="113">
        <v>151000</v>
      </c>
      <c r="F174" s="113">
        <v>134000</v>
      </c>
      <c r="G174" s="127">
        <f t="shared" si="3"/>
        <v>-0.11258278145695365</v>
      </c>
    </row>
    <row r="175" spans="1:7" s="56" customFormat="1" ht="16.5">
      <c r="A175" s="3">
        <f>IF(E175="","",COUNTA($E175:E$1171))</f>
        <v>282</v>
      </c>
      <c r="B175" s="24" t="s">
        <v>1569</v>
      </c>
      <c r="C175" s="3" t="s">
        <v>1448</v>
      </c>
      <c r="D175" s="62" t="s">
        <v>1577</v>
      </c>
      <c r="E175" s="113">
        <v>160000</v>
      </c>
      <c r="F175" s="113">
        <v>147000</v>
      </c>
      <c r="G175" s="127">
        <f t="shared" si="3"/>
        <v>-0.08125</v>
      </c>
    </row>
    <row r="176" spans="1:7" s="56" customFormat="1" ht="16.5">
      <c r="A176" s="3">
        <f>IF(E176="","",COUNTA($E176:E$1171))</f>
        <v>281</v>
      </c>
      <c r="B176" s="24" t="s">
        <v>1569</v>
      </c>
      <c r="C176" s="3" t="s">
        <v>1448</v>
      </c>
      <c r="D176" s="62" t="s">
        <v>1578</v>
      </c>
      <c r="E176" s="113">
        <v>184000</v>
      </c>
      <c r="F176" s="113">
        <v>167000</v>
      </c>
      <c r="G176" s="127">
        <f t="shared" si="3"/>
        <v>-0.09239130434782608</v>
      </c>
    </row>
    <row r="177" spans="1:7" s="56" customFormat="1" ht="16.5">
      <c r="A177" s="3">
        <f>IF(E177="","",COUNTA($E177:E$1171))</f>
        <v>280</v>
      </c>
      <c r="B177" s="24" t="s">
        <v>1570</v>
      </c>
      <c r="C177" s="3" t="s">
        <v>1448</v>
      </c>
      <c r="D177" s="62" t="s">
        <v>1576</v>
      </c>
      <c r="E177" s="113">
        <v>197000</v>
      </c>
      <c r="F177" s="113">
        <v>180000</v>
      </c>
      <c r="G177" s="127">
        <f t="shared" si="3"/>
        <v>-0.08629441624365482</v>
      </c>
    </row>
    <row r="178" spans="1:7" s="56" customFormat="1" ht="16.5">
      <c r="A178" s="3">
        <f>IF(E178="","",COUNTA($E178:E$1171))</f>
        <v>279</v>
      </c>
      <c r="B178" s="24" t="s">
        <v>1570</v>
      </c>
      <c r="C178" s="3" t="s">
        <v>1448</v>
      </c>
      <c r="D178" s="62" t="s">
        <v>1577</v>
      </c>
      <c r="E178" s="113">
        <v>216000</v>
      </c>
      <c r="F178" s="113">
        <v>198000</v>
      </c>
      <c r="G178" s="127">
        <f t="shared" si="3"/>
        <v>-0.08333333333333333</v>
      </c>
    </row>
    <row r="179" spans="1:7" s="56" customFormat="1" ht="16.5">
      <c r="A179" s="3">
        <f>IF(E179="","",COUNTA($E179:E$1171))</f>
        <v>278</v>
      </c>
      <c r="B179" s="24" t="s">
        <v>1570</v>
      </c>
      <c r="C179" s="3" t="s">
        <v>1448</v>
      </c>
      <c r="D179" s="62" t="s">
        <v>1578</v>
      </c>
      <c r="E179" s="113">
        <v>256000</v>
      </c>
      <c r="F179" s="113">
        <v>230000</v>
      </c>
      <c r="G179" s="127">
        <f t="shared" si="3"/>
        <v>-0.1015625</v>
      </c>
    </row>
    <row r="180" spans="1:7" s="56" customFormat="1" ht="16.5">
      <c r="A180" s="3">
        <f>IF(E180="","",COUNTA($E180:E$1171))</f>
        <v>277</v>
      </c>
      <c r="B180" s="24" t="s">
        <v>1571</v>
      </c>
      <c r="C180" s="3" t="s">
        <v>1448</v>
      </c>
      <c r="D180" s="62" t="s">
        <v>1578</v>
      </c>
      <c r="E180" s="113">
        <v>322000</v>
      </c>
      <c r="F180" s="113">
        <v>308000</v>
      </c>
      <c r="G180" s="127">
        <f t="shared" si="3"/>
        <v>-0.043478260869565216</v>
      </c>
    </row>
    <row r="181" spans="1:7" s="56" customFormat="1" ht="16.5">
      <c r="A181" s="3">
        <f>IF(E181="","",COUNTA($E181:E$1171))</f>
        <v>276</v>
      </c>
      <c r="B181" s="24" t="s">
        <v>1571</v>
      </c>
      <c r="C181" s="3" t="s">
        <v>1448</v>
      </c>
      <c r="D181" s="62" t="s">
        <v>1579</v>
      </c>
      <c r="E181" s="113">
        <v>400000</v>
      </c>
      <c r="F181" s="113"/>
      <c r="G181" s="127">
        <f t="shared" si="3"/>
        <v>-1</v>
      </c>
    </row>
    <row r="182" spans="1:7" s="56" customFormat="1" ht="16.5">
      <c r="A182" s="3">
        <f>IF(E182="","",COUNTA($E182:E$1171))</f>
        <v>275</v>
      </c>
      <c r="B182" s="24" t="s">
        <v>1530</v>
      </c>
      <c r="C182" s="3" t="s">
        <v>1448</v>
      </c>
      <c r="D182" s="62" t="s">
        <v>1580</v>
      </c>
      <c r="E182" s="113">
        <v>170000</v>
      </c>
      <c r="F182" s="113">
        <v>155000</v>
      </c>
      <c r="G182" s="127">
        <f t="shared" si="3"/>
        <v>-0.08823529411764706</v>
      </c>
    </row>
    <row r="183" spans="1:7" s="56" customFormat="1" ht="16.5">
      <c r="A183" s="3">
        <f>IF(E183="","",COUNTA($E183:E$1171))</f>
        <v>274</v>
      </c>
      <c r="B183" s="24" t="s">
        <v>1530</v>
      </c>
      <c r="C183" s="3" t="s">
        <v>1448</v>
      </c>
      <c r="D183" s="62" t="s">
        <v>1576</v>
      </c>
      <c r="E183" s="113">
        <v>191000</v>
      </c>
      <c r="F183" s="113">
        <v>170000</v>
      </c>
      <c r="G183" s="127">
        <f t="shared" si="3"/>
        <v>-0.1099476439790576</v>
      </c>
    </row>
    <row r="184" spans="1:7" s="56" customFormat="1" ht="16.5">
      <c r="A184" s="3">
        <f>IF(E184="","",COUNTA($E184:E$1171))</f>
        <v>273</v>
      </c>
      <c r="B184" s="24" t="s">
        <v>1530</v>
      </c>
      <c r="C184" s="3" t="s">
        <v>1448</v>
      </c>
      <c r="D184" s="62" t="s">
        <v>1577</v>
      </c>
      <c r="E184" s="113">
        <v>206000</v>
      </c>
      <c r="F184" s="113">
        <v>191000</v>
      </c>
      <c r="G184" s="127">
        <f t="shared" si="3"/>
        <v>-0.07281553398058252</v>
      </c>
    </row>
    <row r="185" spans="1:7" s="56" customFormat="1" ht="16.5">
      <c r="A185" s="3">
        <f>IF(E185="","",COUNTA($E185:E$1171))</f>
        <v>272</v>
      </c>
      <c r="B185" s="24" t="s">
        <v>1530</v>
      </c>
      <c r="C185" s="3" t="s">
        <v>1448</v>
      </c>
      <c r="D185" s="62" t="s">
        <v>1578</v>
      </c>
      <c r="E185" s="113">
        <v>234000</v>
      </c>
      <c r="F185" s="113">
        <v>216000</v>
      </c>
      <c r="G185" s="127">
        <f t="shared" si="3"/>
        <v>-0.07692307692307693</v>
      </c>
    </row>
    <row r="186" spans="1:7" s="56" customFormat="1" ht="16.5">
      <c r="A186" s="3">
        <f>IF(E186="","",COUNTA($E186:E$1171))</f>
        <v>271</v>
      </c>
      <c r="B186" s="24" t="s">
        <v>1533</v>
      </c>
      <c r="C186" s="3" t="s">
        <v>1448</v>
      </c>
      <c r="D186" s="62" t="s">
        <v>1580</v>
      </c>
      <c r="E186" s="113">
        <v>205000</v>
      </c>
      <c r="F186" s="113">
        <v>192000</v>
      </c>
      <c r="G186" s="127">
        <f t="shared" si="3"/>
        <v>-0.06341463414634146</v>
      </c>
    </row>
    <row r="187" spans="1:7" s="56" customFormat="1" ht="16.5">
      <c r="A187" s="3">
        <f>IF(E187="","",COUNTA($E187:E$1171))</f>
        <v>270</v>
      </c>
      <c r="B187" s="24" t="s">
        <v>1533</v>
      </c>
      <c r="C187" s="3" t="s">
        <v>1448</v>
      </c>
      <c r="D187" s="62" t="s">
        <v>1576</v>
      </c>
      <c r="E187" s="113">
        <v>224000</v>
      </c>
      <c r="F187" s="113">
        <v>202000</v>
      </c>
      <c r="G187" s="127">
        <f t="shared" si="3"/>
        <v>-0.09821428571428571</v>
      </c>
    </row>
    <row r="188" spans="1:7" s="56" customFormat="1" ht="16.5">
      <c r="A188" s="3">
        <f>IF(E188="","",COUNTA($E188:E$1171))</f>
        <v>269</v>
      </c>
      <c r="B188" s="24" t="s">
        <v>1533</v>
      </c>
      <c r="C188" s="3" t="s">
        <v>1448</v>
      </c>
      <c r="D188" s="62" t="s">
        <v>1577</v>
      </c>
      <c r="E188" s="113">
        <v>243000</v>
      </c>
      <c r="F188" s="113">
        <v>221000</v>
      </c>
      <c r="G188" s="127">
        <f t="shared" si="3"/>
        <v>-0.09053497942386832</v>
      </c>
    </row>
    <row r="189" spans="1:7" s="56" customFormat="1" ht="16.5">
      <c r="A189" s="3">
        <f>IF(E189="","",COUNTA($E189:E$1171))</f>
        <v>268</v>
      </c>
      <c r="B189" s="24" t="s">
        <v>1533</v>
      </c>
      <c r="C189" s="3" t="s">
        <v>1448</v>
      </c>
      <c r="D189" s="62" t="s">
        <v>1578</v>
      </c>
      <c r="E189" s="113">
        <v>282000</v>
      </c>
      <c r="F189" s="113">
        <v>257000</v>
      </c>
      <c r="G189" s="127">
        <f t="shared" si="3"/>
        <v>-0.08865248226950355</v>
      </c>
    </row>
    <row r="190" spans="1:7" s="56" customFormat="1" ht="16.5">
      <c r="A190" s="3">
        <f>IF(E190="","",COUNTA($E190:E$1171))</f>
        <v>267</v>
      </c>
      <c r="B190" s="24" t="s">
        <v>1533</v>
      </c>
      <c r="C190" s="3" t="s">
        <v>1448</v>
      </c>
      <c r="D190" s="62" t="s">
        <v>1579</v>
      </c>
      <c r="E190" s="113">
        <v>358000</v>
      </c>
      <c r="F190" s="113">
        <v>352000</v>
      </c>
      <c r="G190" s="127">
        <f t="shared" si="3"/>
        <v>-0.01675977653631285</v>
      </c>
    </row>
    <row r="191" spans="1:7" s="56" customFormat="1" ht="16.5">
      <c r="A191" s="3">
        <f>IF(E191="","",COUNTA($E191:E$1171))</f>
        <v>266</v>
      </c>
      <c r="B191" s="24" t="s">
        <v>1533</v>
      </c>
      <c r="C191" s="3" t="s">
        <v>1448</v>
      </c>
      <c r="D191" s="62" t="s">
        <v>1581</v>
      </c>
      <c r="E191" s="113">
        <v>395000</v>
      </c>
      <c r="F191" s="113">
        <v>360000</v>
      </c>
      <c r="G191" s="127">
        <f t="shared" si="3"/>
        <v>-0.08860759493670886</v>
      </c>
    </row>
    <row r="192" spans="1:7" s="56" customFormat="1" ht="16.5">
      <c r="A192" s="3">
        <f>IF(E192="","",COUNTA($E192:E$1171))</f>
        <v>265</v>
      </c>
      <c r="B192" s="24" t="s">
        <v>1538</v>
      </c>
      <c r="C192" s="3" t="s">
        <v>1448</v>
      </c>
      <c r="D192" s="62" t="s">
        <v>1580</v>
      </c>
      <c r="E192" s="113">
        <v>274000</v>
      </c>
      <c r="F192" s="113">
        <v>268000</v>
      </c>
      <c r="G192" s="127">
        <f t="shared" si="3"/>
        <v>-0.021897810218978103</v>
      </c>
    </row>
    <row r="193" spans="1:7" s="56" customFormat="1" ht="16.5">
      <c r="A193" s="3">
        <f>IF(E193="","",COUNTA($E193:E$1171))</f>
        <v>264</v>
      </c>
      <c r="B193" s="24" t="s">
        <v>1538</v>
      </c>
      <c r="C193" s="3" t="s">
        <v>1448</v>
      </c>
      <c r="D193" s="62" t="s">
        <v>1576</v>
      </c>
      <c r="E193" s="113">
        <v>308000</v>
      </c>
      <c r="F193" s="113">
        <v>282000</v>
      </c>
      <c r="G193" s="127">
        <f t="shared" si="3"/>
        <v>-0.08441558441558442</v>
      </c>
    </row>
    <row r="194" spans="1:7" s="56" customFormat="1" ht="16.5">
      <c r="A194" s="3">
        <f>IF(E194="","",COUNTA($E194:E$1171))</f>
        <v>263</v>
      </c>
      <c r="B194" s="24" t="s">
        <v>1538</v>
      </c>
      <c r="C194" s="3" t="s">
        <v>1448</v>
      </c>
      <c r="D194" s="62" t="s">
        <v>1577</v>
      </c>
      <c r="E194" s="113">
        <v>327000</v>
      </c>
      <c r="F194" s="113">
        <v>298000</v>
      </c>
      <c r="G194" s="127">
        <f t="shared" si="3"/>
        <v>-0.08868501529051988</v>
      </c>
    </row>
    <row r="195" spans="1:7" s="56" customFormat="1" ht="16.5">
      <c r="A195" s="3">
        <f>IF(E195="","",COUNTA($E195:E$1171))</f>
        <v>262</v>
      </c>
      <c r="B195" s="24" t="s">
        <v>1538</v>
      </c>
      <c r="C195" s="3" t="s">
        <v>1448</v>
      </c>
      <c r="D195" s="62" t="s">
        <v>1578</v>
      </c>
      <c r="E195" s="113">
        <v>379000</v>
      </c>
      <c r="F195" s="113">
        <v>343000</v>
      </c>
      <c r="G195" s="127">
        <f t="shared" si="3"/>
        <v>-0.09498680738786279</v>
      </c>
    </row>
    <row r="196" spans="1:7" s="56" customFormat="1" ht="16.5">
      <c r="A196" s="3">
        <f>IF(E196="","",COUNTA($E196:E$1171))</f>
        <v>261</v>
      </c>
      <c r="B196" s="24" t="s">
        <v>1538</v>
      </c>
      <c r="C196" s="3" t="s">
        <v>1448</v>
      </c>
      <c r="D196" s="62" t="s">
        <v>1579</v>
      </c>
      <c r="E196" s="113">
        <v>504000</v>
      </c>
      <c r="F196" s="113">
        <v>449000</v>
      </c>
      <c r="G196" s="127">
        <f t="shared" si="3"/>
        <v>-0.10912698412698413</v>
      </c>
    </row>
    <row r="197" spans="1:7" s="56" customFormat="1" ht="16.5">
      <c r="A197" s="3">
        <f>IF(E197="","",COUNTA($E197:E$1171))</f>
        <v>260</v>
      </c>
      <c r="B197" s="24" t="s">
        <v>1538</v>
      </c>
      <c r="C197" s="3" t="s">
        <v>1448</v>
      </c>
      <c r="D197" s="62" t="s">
        <v>1581</v>
      </c>
      <c r="E197" s="113">
        <v>533000</v>
      </c>
      <c r="F197" s="113">
        <v>485000</v>
      </c>
      <c r="G197" s="127">
        <f t="shared" si="3"/>
        <v>-0.0900562851782364</v>
      </c>
    </row>
    <row r="198" spans="1:7" s="56" customFormat="1" ht="17.25">
      <c r="A198" s="3">
        <f>IF(E198="","",COUNTA($E198:E$1171))</f>
      </c>
      <c r="B198" s="35" t="s">
        <v>1573</v>
      </c>
      <c r="C198" s="3"/>
      <c r="D198" s="62"/>
      <c r="E198" s="81"/>
      <c r="F198" s="81"/>
      <c r="G198" s="127"/>
    </row>
    <row r="199" spans="1:7" s="56" customFormat="1" ht="16.5">
      <c r="A199" s="3">
        <f>IF(E199="","",COUNTA($E199:E$1171))</f>
        <v>259</v>
      </c>
      <c r="B199" s="24" t="s">
        <v>1564</v>
      </c>
      <c r="C199" s="3" t="s">
        <v>1448</v>
      </c>
      <c r="D199" s="62" t="s">
        <v>1577</v>
      </c>
      <c r="E199" s="113">
        <v>79000</v>
      </c>
      <c r="F199" s="113">
        <v>75000</v>
      </c>
      <c r="G199" s="127">
        <f t="shared" si="3"/>
        <v>-0.05063291139240506</v>
      </c>
    </row>
    <row r="200" spans="1:7" s="56" customFormat="1" ht="16.5">
      <c r="A200" s="3">
        <f>IF(E200="","",COUNTA($E200:E$1171))</f>
        <v>258</v>
      </c>
      <c r="B200" s="24" t="s">
        <v>1564</v>
      </c>
      <c r="C200" s="3" t="s">
        <v>1448</v>
      </c>
      <c r="D200" s="62" t="s">
        <v>1578</v>
      </c>
      <c r="E200" s="113">
        <v>87000</v>
      </c>
      <c r="F200" s="113"/>
      <c r="G200" s="127">
        <f t="shared" si="3"/>
        <v>-1</v>
      </c>
    </row>
    <row r="201" spans="1:7" s="56" customFormat="1" ht="16.5">
      <c r="A201" s="3">
        <f>IF(E201="","",COUNTA($E201:E$1171))</f>
        <v>257</v>
      </c>
      <c r="B201" s="24" t="s">
        <v>1566</v>
      </c>
      <c r="C201" s="3" t="s">
        <v>1448</v>
      </c>
      <c r="D201" s="62" t="s">
        <v>1577</v>
      </c>
      <c r="E201" s="113">
        <v>108000</v>
      </c>
      <c r="F201" s="113">
        <v>104000</v>
      </c>
      <c r="G201" s="127">
        <f t="shared" si="3"/>
        <v>-0.037037037037037035</v>
      </c>
    </row>
    <row r="202" spans="1:7" s="56" customFormat="1" ht="16.5">
      <c r="A202" s="3">
        <f>IF(E202="","",COUNTA($E202:E$1171))</f>
        <v>256</v>
      </c>
      <c r="B202" s="24" t="s">
        <v>1566</v>
      </c>
      <c r="C202" s="3" t="s">
        <v>1448</v>
      </c>
      <c r="D202" s="62" t="s">
        <v>1578</v>
      </c>
      <c r="E202" s="113">
        <v>124000</v>
      </c>
      <c r="F202" s="113">
        <v>116000</v>
      </c>
      <c r="G202" s="127">
        <f t="shared" si="3"/>
        <v>-0.06451612903225806</v>
      </c>
    </row>
    <row r="203" spans="1:7" s="56" customFormat="1" ht="16.5">
      <c r="A203" s="3">
        <f>IF(E203="","",COUNTA($E203:E$1171))</f>
        <v>255</v>
      </c>
      <c r="B203" s="24" t="s">
        <v>1567</v>
      </c>
      <c r="C203" s="3" t="s">
        <v>1448</v>
      </c>
      <c r="D203" s="62" t="s">
        <v>1577</v>
      </c>
      <c r="E203" s="113">
        <v>113000</v>
      </c>
      <c r="F203" s="113">
        <v>108000</v>
      </c>
      <c r="G203" s="127">
        <f t="shared" si="3"/>
        <v>-0.04424778761061947</v>
      </c>
    </row>
    <row r="204" spans="1:7" s="56" customFormat="1" ht="16.5">
      <c r="A204" s="3">
        <f>IF(E204="","",COUNTA($E204:E$1171))</f>
        <v>254</v>
      </c>
      <c r="B204" s="24" t="s">
        <v>1567</v>
      </c>
      <c r="C204" s="3" t="s">
        <v>1448</v>
      </c>
      <c r="D204" s="62" t="s">
        <v>1578</v>
      </c>
      <c r="E204" s="113">
        <v>132000</v>
      </c>
      <c r="F204" s="113">
        <v>122000</v>
      </c>
      <c r="G204" s="127">
        <f t="shared" si="3"/>
        <v>-0.07575757575757576</v>
      </c>
    </row>
    <row r="205" spans="1:7" s="56" customFormat="1" ht="16.5">
      <c r="A205" s="3">
        <f>IF(E205="","",COUNTA($E205:E$1171))</f>
        <v>253</v>
      </c>
      <c r="B205" s="24" t="s">
        <v>1568</v>
      </c>
      <c r="C205" s="3" t="s">
        <v>1448</v>
      </c>
      <c r="D205" s="62" t="s">
        <v>1577</v>
      </c>
      <c r="E205" s="113">
        <v>141000</v>
      </c>
      <c r="F205" s="113">
        <v>140000</v>
      </c>
      <c r="G205" s="127">
        <f t="shared" si="3"/>
        <v>-0.0070921985815602835</v>
      </c>
    </row>
    <row r="206" spans="1:7" s="56" customFormat="1" ht="16.5">
      <c r="A206" s="3">
        <f>IF(E206="","",COUNTA($E206:E$1171))</f>
        <v>252</v>
      </c>
      <c r="B206" s="24" t="s">
        <v>1568</v>
      </c>
      <c r="C206" s="3" t="s">
        <v>1448</v>
      </c>
      <c r="D206" s="62" t="s">
        <v>1578</v>
      </c>
      <c r="E206" s="113">
        <v>161000</v>
      </c>
      <c r="F206" s="113">
        <v>161000</v>
      </c>
      <c r="G206" s="127">
        <f t="shared" si="3"/>
        <v>0</v>
      </c>
    </row>
    <row r="207" spans="1:7" s="56" customFormat="1" ht="16.5">
      <c r="A207" s="3">
        <f>IF(E207="","",COUNTA($E207:E$1171))</f>
        <v>251</v>
      </c>
      <c r="B207" s="24" t="s">
        <v>71</v>
      </c>
      <c r="C207" s="3" t="s">
        <v>1448</v>
      </c>
      <c r="D207" s="62" t="s">
        <v>1577</v>
      </c>
      <c r="E207" s="113">
        <v>172000</v>
      </c>
      <c r="F207" s="113">
        <v>161000</v>
      </c>
      <c r="G207" s="127">
        <f t="shared" si="3"/>
        <v>-0.06395348837209303</v>
      </c>
    </row>
    <row r="208" spans="1:7" s="56" customFormat="1" ht="16.5">
      <c r="A208" s="3">
        <f>IF(E208="","",COUNTA($E208:E$1171))</f>
        <v>250</v>
      </c>
      <c r="B208" s="24" t="s">
        <v>71</v>
      </c>
      <c r="C208" s="3" t="s">
        <v>1448</v>
      </c>
      <c r="D208" s="62" t="s">
        <v>1578</v>
      </c>
      <c r="E208" s="113">
        <v>198000</v>
      </c>
      <c r="F208" s="113">
        <v>186000</v>
      </c>
      <c r="G208" s="127">
        <f t="shared" si="3"/>
        <v>-0.06060606060606061</v>
      </c>
    </row>
    <row r="209" spans="1:7" s="56" customFormat="1" ht="16.5">
      <c r="A209" s="3">
        <f>IF(E209="","",COUNTA($E209:E$1171))</f>
        <v>249</v>
      </c>
      <c r="B209" s="24" t="s">
        <v>1569</v>
      </c>
      <c r="C209" s="3" t="s">
        <v>1448</v>
      </c>
      <c r="D209" s="62" t="s">
        <v>1577</v>
      </c>
      <c r="E209" s="113">
        <v>169000</v>
      </c>
      <c r="F209" s="113">
        <v>158000</v>
      </c>
      <c r="G209" s="127">
        <f t="shared" si="3"/>
        <v>-0.0650887573964497</v>
      </c>
    </row>
    <row r="210" spans="1:7" s="56" customFormat="1" ht="16.5">
      <c r="A210" s="3">
        <f>IF(E210="","",COUNTA($E210:E$1171))</f>
        <v>248</v>
      </c>
      <c r="B210" s="24" t="s">
        <v>1569</v>
      </c>
      <c r="C210" s="3" t="s">
        <v>1448</v>
      </c>
      <c r="D210" s="62" t="s">
        <v>1578</v>
      </c>
      <c r="E210" s="113">
        <v>195000</v>
      </c>
      <c r="F210" s="113">
        <v>182000</v>
      </c>
      <c r="G210" s="127">
        <f t="shared" si="3"/>
        <v>-0.06666666666666667</v>
      </c>
    </row>
    <row r="211" spans="1:7" s="56" customFormat="1" ht="16.5">
      <c r="A211" s="3">
        <f>IF(E211="","",COUNTA($E211:E$1171))</f>
        <v>247</v>
      </c>
      <c r="B211" s="24" t="s">
        <v>1570</v>
      </c>
      <c r="C211" s="3" t="s">
        <v>1448</v>
      </c>
      <c r="D211" s="62" t="s">
        <v>1577</v>
      </c>
      <c r="E211" s="113">
        <v>237000</v>
      </c>
      <c r="F211" s="113">
        <v>214000</v>
      </c>
      <c r="G211" s="127">
        <f t="shared" si="3"/>
        <v>-0.0970464135021097</v>
      </c>
    </row>
    <row r="212" spans="1:7" s="56" customFormat="1" ht="16.5">
      <c r="A212" s="3">
        <f>IF(E212="","",COUNTA($E212:E$1171))</f>
        <v>246</v>
      </c>
      <c r="B212" s="24" t="s">
        <v>1570</v>
      </c>
      <c r="C212" s="3" t="s">
        <v>1448</v>
      </c>
      <c r="D212" s="62" t="s">
        <v>1578</v>
      </c>
      <c r="E212" s="113">
        <v>276000</v>
      </c>
      <c r="F212" s="113">
        <v>255000</v>
      </c>
      <c r="G212" s="127">
        <f t="shared" si="3"/>
        <v>-0.07608695652173914</v>
      </c>
    </row>
    <row r="213" spans="1:7" s="56" customFormat="1" ht="16.5">
      <c r="A213" s="3">
        <f>IF(E213="","",COUNTA($E213:E$1171))</f>
        <v>245</v>
      </c>
      <c r="B213" s="24" t="s">
        <v>1530</v>
      </c>
      <c r="C213" s="3" t="s">
        <v>1448</v>
      </c>
      <c r="D213" s="62" t="s">
        <v>1577</v>
      </c>
      <c r="E213" s="113">
        <v>217500</v>
      </c>
      <c r="F213" s="113">
        <v>206000</v>
      </c>
      <c r="G213" s="127">
        <f t="shared" si="3"/>
        <v>-0.052873563218390804</v>
      </c>
    </row>
    <row r="214" spans="1:7" s="56" customFormat="1" ht="16.5">
      <c r="A214" s="3">
        <f>IF(E214="","",COUNTA($E214:E$1171))</f>
        <v>244</v>
      </c>
      <c r="B214" s="24" t="s">
        <v>1530</v>
      </c>
      <c r="C214" s="3" t="s">
        <v>1448</v>
      </c>
      <c r="D214" s="62" t="s">
        <v>1578</v>
      </c>
      <c r="E214" s="113">
        <v>250000</v>
      </c>
      <c r="F214" s="113">
        <v>232000</v>
      </c>
      <c r="G214" s="127">
        <f t="shared" si="3"/>
        <v>-0.072</v>
      </c>
    </row>
    <row r="215" spans="1:7" s="56" customFormat="1" ht="16.5">
      <c r="A215" s="3">
        <f>IF(E215="","",COUNTA($E215:E$1171))</f>
        <v>243</v>
      </c>
      <c r="B215" s="24" t="s">
        <v>1533</v>
      </c>
      <c r="C215" s="3" t="s">
        <v>1448</v>
      </c>
      <c r="D215" s="62" t="s">
        <v>1577</v>
      </c>
      <c r="E215" s="113">
        <v>262000</v>
      </c>
      <c r="F215" s="113">
        <v>244000</v>
      </c>
      <c r="G215" s="127">
        <f t="shared" si="3"/>
        <v>-0.06870229007633588</v>
      </c>
    </row>
    <row r="216" spans="1:7" s="56" customFormat="1" ht="16.5">
      <c r="A216" s="3">
        <f>IF(E216="","",COUNTA($E216:E$1171))</f>
        <v>242</v>
      </c>
      <c r="B216" s="24" t="s">
        <v>1533</v>
      </c>
      <c r="C216" s="3" t="s">
        <v>1448</v>
      </c>
      <c r="D216" s="62" t="s">
        <v>1578</v>
      </c>
      <c r="E216" s="113">
        <v>298000</v>
      </c>
      <c r="F216" s="113">
        <v>283000</v>
      </c>
      <c r="G216" s="127">
        <f t="shared" si="3"/>
        <v>-0.050335570469798654</v>
      </c>
    </row>
    <row r="217" spans="1:7" s="56" customFormat="1" ht="16.5">
      <c r="A217" s="3">
        <f>IF(E217="","",COUNTA($E217:E$1171))</f>
        <v>241</v>
      </c>
      <c r="B217" s="24" t="s">
        <v>1533</v>
      </c>
      <c r="C217" s="3" t="s">
        <v>1448</v>
      </c>
      <c r="D217" s="62" t="s">
        <v>1579</v>
      </c>
      <c r="E217" s="113">
        <v>387000</v>
      </c>
      <c r="F217" s="113">
        <v>387000</v>
      </c>
      <c r="G217" s="127">
        <f t="shared" si="3"/>
        <v>0</v>
      </c>
    </row>
    <row r="218" spans="1:7" s="56" customFormat="1" ht="16.5">
      <c r="A218" s="3">
        <f>IF(E218="","",COUNTA($E218:E$1171))</f>
        <v>240</v>
      </c>
      <c r="B218" s="24" t="s">
        <v>1538</v>
      </c>
      <c r="C218" s="3" t="s">
        <v>1448</v>
      </c>
      <c r="D218" s="62" t="s">
        <v>1577</v>
      </c>
      <c r="E218" s="113">
        <v>350000</v>
      </c>
      <c r="F218" s="113">
        <v>322000</v>
      </c>
      <c r="G218" s="127">
        <f t="shared" si="3"/>
        <v>-0.08</v>
      </c>
    </row>
    <row r="219" spans="1:7" s="56" customFormat="1" ht="16.5">
      <c r="A219" s="3">
        <f>IF(E219="","",COUNTA($E219:E$1171))</f>
        <v>239</v>
      </c>
      <c r="B219" s="24" t="s">
        <v>1538</v>
      </c>
      <c r="C219" s="3" t="s">
        <v>1448</v>
      </c>
      <c r="D219" s="62" t="s">
        <v>1578</v>
      </c>
      <c r="E219" s="113">
        <v>402000</v>
      </c>
      <c r="F219" s="113">
        <v>375000</v>
      </c>
      <c r="G219" s="127">
        <f t="shared" si="3"/>
        <v>-0.06716417910447761</v>
      </c>
    </row>
    <row r="220" spans="1:7" s="56" customFormat="1" ht="16.5">
      <c r="A220" s="3">
        <f>IF(E220="","",COUNTA($E220:E$1171))</f>
        <v>238</v>
      </c>
      <c r="B220" s="24" t="s">
        <v>1538</v>
      </c>
      <c r="C220" s="3" t="s">
        <v>1448</v>
      </c>
      <c r="D220" s="62" t="s">
        <v>1579</v>
      </c>
      <c r="E220" s="113">
        <v>509000</v>
      </c>
      <c r="F220" s="113">
        <v>482000</v>
      </c>
      <c r="G220" s="127">
        <f t="shared" si="3"/>
        <v>-0.05304518664047151</v>
      </c>
    </row>
    <row r="221" spans="1:7" s="56" customFormat="1" ht="16.5">
      <c r="A221" s="3">
        <f>IF(E221="","",COUNTA($E221:E$1171))</f>
        <v>237</v>
      </c>
      <c r="B221" s="24" t="s">
        <v>1538</v>
      </c>
      <c r="C221" s="3" t="s">
        <v>1448</v>
      </c>
      <c r="D221" s="62" t="s">
        <v>1581</v>
      </c>
      <c r="E221" s="113">
        <v>566000</v>
      </c>
      <c r="F221" s="113">
        <v>528000</v>
      </c>
      <c r="G221" s="127">
        <f t="shared" si="3"/>
        <v>-0.06713780918727916</v>
      </c>
    </row>
    <row r="222" spans="1:7" s="56" customFormat="1" ht="17.25">
      <c r="A222" s="3">
        <f>IF(E222="","",COUNTA($E222:E$1171))</f>
      </c>
      <c r="B222" s="35" t="s">
        <v>1574</v>
      </c>
      <c r="C222" s="3"/>
      <c r="D222" s="62"/>
      <c r="E222" s="81"/>
      <c r="F222" s="81"/>
      <c r="G222" s="127"/>
    </row>
    <row r="223" spans="1:7" s="56" customFormat="1" ht="16.5">
      <c r="A223" s="3">
        <f>IF(E223="","",COUNTA($E223:E$1171))</f>
        <v>236</v>
      </c>
      <c r="B223" s="24" t="s">
        <v>1564</v>
      </c>
      <c r="C223" s="3" t="s">
        <v>1448</v>
      </c>
      <c r="D223" s="62" t="s">
        <v>1577</v>
      </c>
      <c r="E223" s="113">
        <v>68181.81818181818</v>
      </c>
      <c r="F223" s="113">
        <v>75000</v>
      </c>
      <c r="G223" s="127">
        <f t="shared" si="3"/>
        <v>0.10000000000000009</v>
      </c>
    </row>
    <row r="224" spans="1:7" s="56" customFormat="1" ht="16.5">
      <c r="A224" s="3">
        <f>IF(E224="","",COUNTA($E224:E$1171))</f>
        <v>235</v>
      </c>
      <c r="B224" s="24" t="s">
        <v>1567</v>
      </c>
      <c r="C224" s="3" t="s">
        <v>1448</v>
      </c>
      <c r="D224" s="62" t="s">
        <v>1580</v>
      </c>
      <c r="E224" s="113">
        <v>91818.18181818181</v>
      </c>
      <c r="F224" s="113"/>
      <c r="G224" s="127">
        <f t="shared" si="3"/>
        <v>-1</v>
      </c>
    </row>
    <row r="225" spans="1:7" s="56" customFormat="1" ht="16.5">
      <c r="A225" s="3">
        <f>IF(E225="","",COUNTA($E225:E$1171))</f>
        <v>234</v>
      </c>
      <c r="B225" s="24" t="s">
        <v>1567</v>
      </c>
      <c r="C225" s="3" t="s">
        <v>1448</v>
      </c>
      <c r="D225" s="62" t="s">
        <v>1576</v>
      </c>
      <c r="E225" s="113">
        <v>114545.45454545453</v>
      </c>
      <c r="F225" s="113">
        <v>101000</v>
      </c>
      <c r="G225" s="127">
        <f t="shared" si="3"/>
        <v>-0.11825396825396813</v>
      </c>
    </row>
    <row r="226" spans="1:7" s="56" customFormat="1" ht="16.5">
      <c r="A226" s="3">
        <f>IF(E226="","",COUNTA($E226:E$1171))</f>
        <v>233</v>
      </c>
      <c r="B226" s="24" t="s">
        <v>1567</v>
      </c>
      <c r="C226" s="3" t="s">
        <v>1448</v>
      </c>
      <c r="D226" s="62" t="s">
        <v>1577</v>
      </c>
      <c r="E226" s="113">
        <v>126363.63636363635</v>
      </c>
      <c r="F226" s="113"/>
      <c r="G226" s="127">
        <f aca="true" t="shared" si="4" ref="G226:G237">(F226-E226)/E226</f>
        <v>-1</v>
      </c>
    </row>
    <row r="227" spans="1:7" s="56" customFormat="1" ht="16.5">
      <c r="A227" s="3">
        <f>IF(E227="","",COUNTA($E227:E$1171))</f>
        <v>232</v>
      </c>
      <c r="B227" s="24" t="s">
        <v>1567</v>
      </c>
      <c r="C227" s="3" t="s">
        <v>1448</v>
      </c>
      <c r="D227" s="62" t="s">
        <v>1578</v>
      </c>
      <c r="E227" s="113">
        <v>140909.0909090909</v>
      </c>
      <c r="F227" s="113">
        <v>126000</v>
      </c>
      <c r="G227" s="127">
        <f t="shared" si="4"/>
        <v>-0.10580645161290324</v>
      </c>
    </row>
    <row r="228" spans="1:7" s="56" customFormat="1" ht="16.5">
      <c r="A228" s="3">
        <f>IF(E228="","",COUNTA($E228:E$1171))</f>
        <v>231</v>
      </c>
      <c r="B228" s="24" t="s">
        <v>1568</v>
      </c>
      <c r="C228" s="3" t="s">
        <v>1448</v>
      </c>
      <c r="D228" s="62" t="s">
        <v>1577</v>
      </c>
      <c r="E228" s="113">
        <v>129090.90909090907</v>
      </c>
      <c r="F228" s="113">
        <v>139000</v>
      </c>
      <c r="G228" s="127">
        <f t="shared" si="4"/>
        <v>0.07676056338028184</v>
      </c>
    </row>
    <row r="229" spans="1:7" s="56" customFormat="1" ht="16.5">
      <c r="A229" s="3">
        <f>IF(E229="","",COUNTA($E229:E$1171))</f>
        <v>230</v>
      </c>
      <c r="B229" s="24" t="s">
        <v>71</v>
      </c>
      <c r="C229" s="3" t="s">
        <v>1448</v>
      </c>
      <c r="D229" s="62" t="s">
        <v>1576</v>
      </c>
      <c r="E229" s="113">
        <v>140909.0909090909</v>
      </c>
      <c r="F229" s="113">
        <v>155000</v>
      </c>
      <c r="G229" s="127">
        <f t="shared" si="4"/>
        <v>0.09999999999999998</v>
      </c>
    </row>
    <row r="230" spans="1:7" s="56" customFormat="1" ht="16.5">
      <c r="A230" s="3">
        <f>IF(E230="","",COUNTA($E230:E$1171))</f>
        <v>229</v>
      </c>
      <c r="B230" s="24" t="s">
        <v>71</v>
      </c>
      <c r="C230" s="3" t="s">
        <v>1448</v>
      </c>
      <c r="D230" s="62" t="s">
        <v>1578</v>
      </c>
      <c r="E230" s="113">
        <v>152727.2727272727</v>
      </c>
      <c r="F230" s="113">
        <v>142000</v>
      </c>
      <c r="G230" s="127">
        <f t="shared" si="4"/>
        <v>-0.07023809523809511</v>
      </c>
    </row>
    <row r="231" spans="1:7" s="56" customFormat="1" ht="16.5">
      <c r="A231" s="3">
        <f>IF(E231="","",COUNTA($E231:E$1171))</f>
        <v>228</v>
      </c>
      <c r="B231" s="24" t="s">
        <v>1569</v>
      </c>
      <c r="C231" s="3" t="s">
        <v>1448</v>
      </c>
      <c r="D231" s="62" t="s">
        <v>1580</v>
      </c>
      <c r="E231" s="113">
        <v>152727.2727272727</v>
      </c>
      <c r="F231" s="113"/>
      <c r="G231" s="127">
        <f t="shared" si="4"/>
        <v>-1</v>
      </c>
    </row>
    <row r="232" spans="1:7" s="56" customFormat="1" ht="16.5">
      <c r="A232" s="3">
        <f>IF(E232="","",COUNTA($E232:E$1171))</f>
        <v>227</v>
      </c>
      <c r="B232" s="24" t="s">
        <v>1569</v>
      </c>
      <c r="C232" s="3" t="s">
        <v>1448</v>
      </c>
      <c r="D232" s="62" t="s">
        <v>1576</v>
      </c>
      <c r="E232" s="113">
        <v>224545.45454545453</v>
      </c>
      <c r="F232" s="113">
        <v>155000</v>
      </c>
      <c r="G232" s="127">
        <f t="shared" si="4"/>
        <v>-0.3097165991902833</v>
      </c>
    </row>
    <row r="233" spans="1:7" s="56" customFormat="1" ht="16.5">
      <c r="A233" s="3">
        <f>IF(E233="","",COUNTA($E233:E$1171))</f>
        <v>226</v>
      </c>
      <c r="B233" s="24" t="s">
        <v>1569</v>
      </c>
      <c r="C233" s="3" t="s">
        <v>1448</v>
      </c>
      <c r="D233" s="62" t="s">
        <v>1577</v>
      </c>
      <c r="E233" s="113">
        <v>233636.36363636362</v>
      </c>
      <c r="F233" s="113">
        <v>168000</v>
      </c>
      <c r="G233" s="127">
        <f t="shared" si="4"/>
        <v>-0.28093385214007777</v>
      </c>
    </row>
    <row r="234" spans="1:7" s="56" customFormat="1" ht="16.5">
      <c r="A234" s="3">
        <f>IF(E234="","",COUNTA($E234:E$1171))</f>
        <v>225</v>
      </c>
      <c r="B234" s="24" t="s">
        <v>1570</v>
      </c>
      <c r="C234" s="3" t="s">
        <v>1448</v>
      </c>
      <c r="D234" s="62" t="s">
        <v>1577</v>
      </c>
      <c r="E234" s="113">
        <v>344545.45454545453</v>
      </c>
      <c r="F234" s="113"/>
      <c r="G234" s="127">
        <f t="shared" si="4"/>
        <v>-1</v>
      </c>
    </row>
    <row r="235" spans="1:7" s="56" customFormat="1" ht="16.5">
      <c r="A235" s="3">
        <f>IF(E235="","",COUNTA($E235:E$1171))</f>
        <v>224</v>
      </c>
      <c r="B235" s="24" t="s">
        <v>1570</v>
      </c>
      <c r="C235" s="3" t="s">
        <v>1448</v>
      </c>
      <c r="D235" s="62" t="s">
        <v>1578</v>
      </c>
      <c r="E235" s="113">
        <v>288181.8181818182</v>
      </c>
      <c r="F235" s="113">
        <v>288181.8181818182</v>
      </c>
      <c r="G235" s="127">
        <f t="shared" si="4"/>
        <v>0</v>
      </c>
    </row>
    <row r="236" spans="1:7" s="56" customFormat="1" ht="17.25">
      <c r="A236" s="3">
        <f>IF(E236="","",COUNTA($E236:E$1171))</f>
      </c>
      <c r="B236" s="35" t="s">
        <v>1575</v>
      </c>
      <c r="C236" s="3"/>
      <c r="D236" s="62"/>
      <c r="E236" s="16"/>
      <c r="F236" s="16"/>
      <c r="G236" s="127"/>
    </row>
    <row r="237" spans="1:7" s="56" customFormat="1" ht="16.5">
      <c r="A237" s="3">
        <f>IF(E237="","",COUNTA($E237:E$1171))</f>
        <v>223</v>
      </c>
      <c r="B237" s="24" t="s">
        <v>1533</v>
      </c>
      <c r="C237" s="3" t="s">
        <v>1448</v>
      </c>
      <c r="D237" s="62" t="s">
        <v>1577</v>
      </c>
      <c r="E237" s="16">
        <v>243000</v>
      </c>
      <c r="F237" s="16"/>
      <c r="G237" s="127">
        <f t="shared" si="4"/>
        <v>-1</v>
      </c>
    </row>
    <row r="238" spans="1:6" s="56" customFormat="1" ht="17.25">
      <c r="A238" s="3">
        <f>IF(E238="","",COUNTA($E238:E$1171))</f>
      </c>
      <c r="B238" s="35" t="s">
        <v>2146</v>
      </c>
      <c r="C238" s="3"/>
      <c r="D238" s="62"/>
      <c r="E238" s="16"/>
      <c r="F238" s="16"/>
    </row>
    <row r="239" spans="1:6" s="56" customFormat="1" ht="16.5">
      <c r="A239" s="3">
        <f>IF(E239="","",COUNTA($E239:E$1171))</f>
        <v>222</v>
      </c>
      <c r="B239" s="58" t="s">
        <v>2147</v>
      </c>
      <c r="C239" s="3" t="s">
        <v>2793</v>
      </c>
      <c r="D239" s="97" t="s">
        <v>1579</v>
      </c>
      <c r="E239" s="94">
        <f>66500/1.1</f>
        <v>60454.54545454545</v>
      </c>
      <c r="F239" s="94">
        <f>66500/1.1</f>
        <v>60454.54545454545</v>
      </c>
    </row>
    <row r="240" spans="1:6" s="56" customFormat="1" ht="16.5">
      <c r="A240" s="3">
        <f>IF(E240="","",COUNTA($E240:E$1171))</f>
        <v>221</v>
      </c>
      <c r="B240" s="58" t="s">
        <v>2148</v>
      </c>
      <c r="C240" s="3" t="s">
        <v>2793</v>
      </c>
      <c r="D240" s="97" t="s">
        <v>1579</v>
      </c>
      <c r="E240" s="94">
        <f>67700/1.1</f>
        <v>61545.45454545454</v>
      </c>
      <c r="F240" s="94">
        <f>67700/1.1</f>
        <v>61545.45454545454</v>
      </c>
    </row>
    <row r="241" spans="1:6" s="56" customFormat="1" ht="16.5">
      <c r="A241" s="3">
        <f>IF(E241="","",COUNTA($E241:E$1171))</f>
        <v>220</v>
      </c>
      <c r="B241" s="58" t="s">
        <v>2149</v>
      </c>
      <c r="C241" s="3" t="s">
        <v>2793</v>
      </c>
      <c r="D241" s="97" t="s">
        <v>2178</v>
      </c>
      <c r="E241" s="94">
        <f>75500/1.1</f>
        <v>68636.36363636363</v>
      </c>
      <c r="F241" s="94">
        <f>75500/1.1</f>
        <v>68636.36363636363</v>
      </c>
    </row>
    <row r="242" spans="1:6" s="56" customFormat="1" ht="16.5">
      <c r="A242" s="3">
        <f>IF(E242="","",COUNTA($E242:E$1171))</f>
        <v>219</v>
      </c>
      <c r="B242" s="58" t="s">
        <v>2150</v>
      </c>
      <c r="C242" s="3" t="s">
        <v>2793</v>
      </c>
      <c r="D242" s="97" t="s">
        <v>1579</v>
      </c>
      <c r="E242" s="94">
        <f>81600/1.1</f>
        <v>74181.81818181818</v>
      </c>
      <c r="F242" s="94">
        <f>81600/1.1</f>
        <v>74181.81818181818</v>
      </c>
    </row>
    <row r="243" spans="1:6" s="56" customFormat="1" ht="16.5">
      <c r="A243" s="3">
        <f>IF(E243="","",COUNTA($E243:E$1171))</f>
        <v>218</v>
      </c>
      <c r="B243" s="58" t="s">
        <v>2151</v>
      </c>
      <c r="C243" s="3" t="s">
        <v>2793</v>
      </c>
      <c r="D243" s="97" t="s">
        <v>1579</v>
      </c>
      <c r="E243" s="94">
        <f>84000/1.1</f>
        <v>76363.63636363635</v>
      </c>
      <c r="F243" s="94">
        <f>84000/1.1</f>
        <v>76363.63636363635</v>
      </c>
    </row>
    <row r="244" spans="1:6" s="56" customFormat="1" ht="16.5">
      <c r="A244" s="3">
        <f>IF(E244="","",COUNTA($E244:E$1171))</f>
        <v>217</v>
      </c>
      <c r="B244" s="58" t="s">
        <v>2152</v>
      </c>
      <c r="C244" s="3" t="s">
        <v>2793</v>
      </c>
      <c r="D244" s="97" t="s">
        <v>2178</v>
      </c>
      <c r="E244" s="94">
        <f>91000/1.1</f>
        <v>82727.27272727272</v>
      </c>
      <c r="F244" s="94">
        <f>91000/1.1</f>
        <v>82727.27272727272</v>
      </c>
    </row>
    <row r="245" spans="1:6" s="56" customFormat="1" ht="16.5">
      <c r="A245" s="3">
        <f>IF(E245="","",COUNTA($E245:E$1171))</f>
        <v>216</v>
      </c>
      <c r="B245" s="58" t="s">
        <v>2153</v>
      </c>
      <c r="C245" s="3" t="s">
        <v>2793</v>
      </c>
      <c r="D245" s="97" t="s">
        <v>2178</v>
      </c>
      <c r="E245" s="94">
        <f>99200/1.1</f>
        <v>90181.81818181818</v>
      </c>
      <c r="F245" s="94">
        <f>99200/1.1</f>
        <v>90181.81818181818</v>
      </c>
    </row>
    <row r="246" spans="1:6" s="56" customFormat="1" ht="16.5">
      <c r="A246" s="3">
        <f>IF(E246="","",COUNTA($E246:E$1171))</f>
        <v>215</v>
      </c>
      <c r="B246" s="58" t="s">
        <v>2154</v>
      </c>
      <c r="C246" s="3" t="s">
        <v>2793</v>
      </c>
      <c r="D246" s="97" t="s">
        <v>1579</v>
      </c>
      <c r="E246" s="94">
        <f>89600/1.1</f>
        <v>81454.54545454544</v>
      </c>
      <c r="F246" s="94">
        <f>89600/1.1</f>
        <v>81454.54545454544</v>
      </c>
    </row>
    <row r="247" spans="1:6" s="56" customFormat="1" ht="16.5">
      <c r="A247" s="3">
        <f>IF(E247="","",COUNTA($E247:E$1171))</f>
        <v>214</v>
      </c>
      <c r="B247" s="58" t="s">
        <v>2155</v>
      </c>
      <c r="C247" s="3" t="s">
        <v>2793</v>
      </c>
      <c r="D247" s="97" t="s">
        <v>1579</v>
      </c>
      <c r="E247" s="94">
        <f>91600/1.1</f>
        <v>83272.72727272726</v>
      </c>
      <c r="F247" s="94">
        <f>91600/1.1</f>
        <v>83272.72727272726</v>
      </c>
    </row>
    <row r="248" spans="1:6" s="56" customFormat="1" ht="16.5">
      <c r="A248" s="3">
        <f>IF(E248="","",COUNTA($E248:E$1171))</f>
        <v>213</v>
      </c>
      <c r="B248" s="58" t="s">
        <v>2156</v>
      </c>
      <c r="C248" s="3" t="s">
        <v>2793</v>
      </c>
      <c r="D248" s="97" t="s">
        <v>2178</v>
      </c>
      <c r="E248" s="94">
        <f>99800/1.1</f>
        <v>90727.27272727272</v>
      </c>
      <c r="F248" s="94">
        <f>99800/1.1</f>
        <v>90727.27272727272</v>
      </c>
    </row>
    <row r="249" spans="1:6" s="56" customFormat="1" ht="16.5">
      <c r="A249" s="3">
        <f>IF(E249="","",COUNTA($E249:E$1171))</f>
        <v>212</v>
      </c>
      <c r="B249" s="58" t="s">
        <v>2157</v>
      </c>
      <c r="C249" s="3" t="s">
        <v>2793</v>
      </c>
      <c r="D249" s="97" t="s">
        <v>2178</v>
      </c>
      <c r="E249" s="94">
        <f>102000/1.1</f>
        <v>92727.27272727272</v>
      </c>
      <c r="F249" s="94">
        <f>102000/1.1</f>
        <v>92727.27272727272</v>
      </c>
    </row>
    <row r="250" spans="1:6" s="56" customFormat="1" ht="16.5">
      <c r="A250" s="3">
        <f>IF(E250="","",COUNTA($E250:E$1171))</f>
        <v>211</v>
      </c>
      <c r="B250" s="58" t="s">
        <v>2158</v>
      </c>
      <c r="C250" s="3" t="s">
        <v>2793</v>
      </c>
      <c r="D250" s="97" t="s">
        <v>1579</v>
      </c>
      <c r="E250" s="94">
        <f>101600/1.1</f>
        <v>92363.63636363635</v>
      </c>
      <c r="F250" s="94">
        <f>101600/1.1</f>
        <v>92363.63636363635</v>
      </c>
    </row>
    <row r="251" spans="1:6" s="56" customFormat="1" ht="16.5">
      <c r="A251" s="3">
        <f>IF(E251="","",COUNTA($E251:E$1171))</f>
        <v>210</v>
      </c>
      <c r="B251" s="58" t="s">
        <v>2159</v>
      </c>
      <c r="C251" s="3" t="s">
        <v>2793</v>
      </c>
      <c r="D251" s="97" t="s">
        <v>1579</v>
      </c>
      <c r="E251" s="94">
        <f>103600/1.1</f>
        <v>94181.81818181818</v>
      </c>
      <c r="F251" s="94">
        <f>103600/1.1</f>
        <v>94181.81818181818</v>
      </c>
    </row>
    <row r="252" spans="1:6" s="56" customFormat="1" ht="16.5">
      <c r="A252" s="3">
        <f>IF(E252="","",COUNTA($E252:E$1171))</f>
        <v>209</v>
      </c>
      <c r="B252" s="58" t="s">
        <v>2160</v>
      </c>
      <c r="C252" s="3" t="s">
        <v>2793</v>
      </c>
      <c r="D252" s="97" t="s">
        <v>1579</v>
      </c>
      <c r="E252" s="94">
        <f>116000/1.1</f>
        <v>105454.54545454544</v>
      </c>
      <c r="F252" s="94">
        <f>116000/1.1</f>
        <v>105454.54545454544</v>
      </c>
    </row>
    <row r="253" spans="1:6" s="56" customFormat="1" ht="16.5">
      <c r="A253" s="3">
        <f>IF(E253="","",COUNTA($E253:E$1171))</f>
        <v>208</v>
      </c>
      <c r="B253" s="58" t="s">
        <v>2161</v>
      </c>
      <c r="C253" s="3" t="s">
        <v>2793</v>
      </c>
      <c r="D253" s="97" t="s">
        <v>2178</v>
      </c>
      <c r="E253" s="94">
        <f>113000/1.1</f>
        <v>102727.27272727272</v>
      </c>
      <c r="F253" s="94">
        <f>113000/1.1</f>
        <v>102727.27272727272</v>
      </c>
    </row>
    <row r="254" spans="1:6" s="56" customFormat="1" ht="16.5">
      <c r="A254" s="3">
        <f>IF(E254="","",COUNTA($E254:E$1171))</f>
        <v>207</v>
      </c>
      <c r="B254" s="58" t="s">
        <v>2162</v>
      </c>
      <c r="C254" s="3" t="s">
        <v>2793</v>
      </c>
      <c r="D254" s="97" t="s">
        <v>2178</v>
      </c>
      <c r="E254" s="94">
        <f>115300/1.1</f>
        <v>104818.18181818181</v>
      </c>
      <c r="F254" s="94">
        <f>115300/1.1</f>
        <v>104818.18181818181</v>
      </c>
    </row>
    <row r="255" spans="1:6" s="56" customFormat="1" ht="16.5">
      <c r="A255" s="3">
        <f>IF(E255="","",COUNTA($E255:E$1171))</f>
        <v>206</v>
      </c>
      <c r="B255" s="58" t="s">
        <v>2163</v>
      </c>
      <c r="C255" s="3" t="s">
        <v>2793</v>
      </c>
      <c r="D255" s="97" t="s">
        <v>2178</v>
      </c>
      <c r="E255" s="94">
        <f>125700/1.1</f>
        <v>114272.72727272726</v>
      </c>
      <c r="F255" s="94">
        <f>125700/1.1</f>
        <v>114272.72727272726</v>
      </c>
    </row>
    <row r="256" spans="1:6" s="56" customFormat="1" ht="16.5">
      <c r="A256" s="3">
        <f>IF(E256="","",COUNTA($E256:E$1171))</f>
        <v>205</v>
      </c>
      <c r="B256" s="58" t="s">
        <v>2164</v>
      </c>
      <c r="C256" s="3" t="s">
        <v>2793</v>
      </c>
      <c r="D256" s="97" t="s">
        <v>2177</v>
      </c>
      <c r="E256" s="94">
        <f>142000/1.1</f>
        <v>129090.90909090907</v>
      </c>
      <c r="F256" s="94">
        <f>142000/1.1</f>
        <v>129090.90909090907</v>
      </c>
    </row>
    <row r="257" spans="1:6" s="56" customFormat="1" ht="16.5">
      <c r="A257" s="3">
        <f>IF(E257="","",COUNTA($E257:E$1171))</f>
        <v>204</v>
      </c>
      <c r="B257" s="58" t="s">
        <v>2165</v>
      </c>
      <c r="C257" s="3" t="s">
        <v>2793</v>
      </c>
      <c r="D257" s="97" t="s">
        <v>2178</v>
      </c>
      <c r="E257" s="94">
        <f>128600/1.1</f>
        <v>116909.0909090909</v>
      </c>
      <c r="F257" s="94">
        <f>128600/1.1</f>
        <v>116909.0909090909</v>
      </c>
    </row>
    <row r="258" spans="1:6" s="56" customFormat="1" ht="16.5">
      <c r="A258" s="3">
        <f>IF(E258="","",COUNTA($E258:E$1171))</f>
        <v>203</v>
      </c>
      <c r="B258" s="58" t="s">
        <v>2166</v>
      </c>
      <c r="C258" s="3" t="s">
        <v>2793</v>
      </c>
      <c r="D258" s="97" t="s">
        <v>2178</v>
      </c>
      <c r="E258" s="94">
        <f>142000/1.1</f>
        <v>129090.90909090907</v>
      </c>
      <c r="F258" s="94">
        <f>142000/1.1</f>
        <v>129090.90909090907</v>
      </c>
    </row>
    <row r="259" spans="1:6" s="56" customFormat="1" ht="16.5">
      <c r="A259" s="3">
        <f>IF(E259="","",COUNTA($E259:E$1171))</f>
        <v>202</v>
      </c>
      <c r="B259" s="58" t="s">
        <v>2167</v>
      </c>
      <c r="C259" s="3" t="s">
        <v>2793</v>
      </c>
      <c r="D259" s="97" t="s">
        <v>2178</v>
      </c>
      <c r="E259" s="94">
        <f>142000/1.1</f>
        <v>129090.90909090907</v>
      </c>
      <c r="F259" s="94">
        <f>142000/1.1</f>
        <v>129090.90909090907</v>
      </c>
    </row>
    <row r="260" spans="1:6" s="56" customFormat="1" ht="16.5">
      <c r="A260" s="3">
        <f>IF(E260="","",COUNTA($E260:E$1171))</f>
        <v>201</v>
      </c>
      <c r="B260" s="58" t="s">
        <v>2168</v>
      </c>
      <c r="C260" s="3" t="s">
        <v>2793</v>
      </c>
      <c r="D260" s="97" t="s">
        <v>2178</v>
      </c>
      <c r="E260" s="94">
        <f>151000/1.1</f>
        <v>137272.72727272726</v>
      </c>
      <c r="F260" s="94">
        <f>151000/1.1</f>
        <v>137272.72727272726</v>
      </c>
    </row>
    <row r="261" spans="1:6" s="56" customFormat="1" ht="17.25">
      <c r="A261" s="3">
        <f>IF(E261="","",COUNTA($E261:E$1171))</f>
      </c>
      <c r="B261" s="35" t="s">
        <v>2169</v>
      </c>
      <c r="C261" s="3"/>
      <c r="D261" s="62"/>
      <c r="E261" s="16"/>
      <c r="F261" s="16"/>
    </row>
    <row r="262" spans="1:7" s="56" customFormat="1" ht="16.5">
      <c r="A262" s="3">
        <f>IF(E262="","",COUNTA($E262:E$1171))</f>
        <v>200</v>
      </c>
      <c r="B262" s="58" t="s">
        <v>2170</v>
      </c>
      <c r="C262" s="3" t="s">
        <v>2793</v>
      </c>
      <c r="D262" s="97" t="s">
        <v>1579</v>
      </c>
      <c r="E262" s="94">
        <f>114500/1.1</f>
        <v>104090.90909090909</v>
      </c>
      <c r="F262" s="94">
        <v>97327</v>
      </c>
      <c r="G262" s="127">
        <f aca="true" t="shared" si="5" ref="G262:G325">(F262-E262)/E262</f>
        <v>-0.06498078602620085</v>
      </c>
    </row>
    <row r="263" spans="1:7" s="56" customFormat="1" ht="16.5">
      <c r="A263" s="3">
        <f>IF(E263="","",COUNTA($E263:E$1171))</f>
        <v>199</v>
      </c>
      <c r="B263" s="58" t="s">
        <v>2171</v>
      </c>
      <c r="C263" s="3" t="s">
        <v>2793</v>
      </c>
      <c r="D263" s="97" t="s">
        <v>2178</v>
      </c>
      <c r="E263" s="94">
        <f>127500/1.1</f>
        <v>115909.0909090909</v>
      </c>
      <c r="F263" s="94">
        <v>106964</v>
      </c>
      <c r="G263" s="127">
        <f t="shared" si="5"/>
        <v>-0.07717333333333323</v>
      </c>
    </row>
    <row r="264" spans="1:7" s="56" customFormat="1" ht="16.5">
      <c r="A264" s="3">
        <f>IF(E264="","",COUNTA($E264:E$1171))</f>
        <v>198</v>
      </c>
      <c r="B264" s="58" t="s">
        <v>2172</v>
      </c>
      <c r="C264" s="3" t="s">
        <v>2793</v>
      </c>
      <c r="D264" s="97" t="s">
        <v>2178</v>
      </c>
      <c r="E264" s="94">
        <f>140500/1.1</f>
        <v>127727.27272727272</v>
      </c>
      <c r="F264" s="94">
        <v>118045</v>
      </c>
      <c r="G264" s="127">
        <f t="shared" si="5"/>
        <v>-0.07580427046263341</v>
      </c>
    </row>
    <row r="265" spans="1:7" s="56" customFormat="1" ht="16.5">
      <c r="A265" s="3">
        <f>IF(E265="","",COUNTA($E265:E$1171))</f>
        <v>197</v>
      </c>
      <c r="B265" s="58" t="s">
        <v>2173</v>
      </c>
      <c r="C265" s="3" t="s">
        <v>2793</v>
      </c>
      <c r="D265" s="97" t="s">
        <v>2178</v>
      </c>
      <c r="E265" s="94">
        <f>151000/1.1</f>
        <v>137272.72727272726</v>
      </c>
      <c r="F265" s="94">
        <v>126718</v>
      </c>
      <c r="G265" s="127">
        <f t="shared" si="5"/>
        <v>-0.07688874172185425</v>
      </c>
    </row>
    <row r="266" spans="1:7" s="56" customFormat="1" ht="16.5">
      <c r="A266" s="3">
        <f>IF(E266="","",COUNTA($E266:E$1171))</f>
        <v>196</v>
      </c>
      <c r="B266" s="58" t="s">
        <v>2174</v>
      </c>
      <c r="C266" s="3" t="s">
        <v>2793</v>
      </c>
      <c r="D266" s="97" t="s">
        <v>2178</v>
      </c>
      <c r="E266" s="94">
        <f>173000/1.1</f>
        <v>157272.72727272726</v>
      </c>
      <c r="F266" s="94">
        <v>144545</v>
      </c>
      <c r="G266" s="127">
        <f t="shared" si="5"/>
        <v>-0.08092774566473984</v>
      </c>
    </row>
    <row r="267" spans="1:7" s="56" customFormat="1" ht="16.5">
      <c r="A267" s="3">
        <f>IF(E267="","",COUNTA($E267:E$1171))</f>
        <v>195</v>
      </c>
      <c r="B267" s="58" t="s">
        <v>2175</v>
      </c>
      <c r="C267" s="3" t="s">
        <v>2793</v>
      </c>
      <c r="D267" s="97" t="s">
        <v>2178</v>
      </c>
      <c r="E267" s="94">
        <f>195000/1.1</f>
        <v>177272.72727272726</v>
      </c>
      <c r="F267" s="94">
        <v>162373</v>
      </c>
      <c r="G267" s="127">
        <f t="shared" si="5"/>
        <v>-0.08404974358974354</v>
      </c>
    </row>
    <row r="268" spans="1:7" s="56" customFormat="1" ht="16.5">
      <c r="A268" s="3">
        <f>IF(E268="","",COUNTA($E268:E$1171))</f>
        <v>194</v>
      </c>
      <c r="B268" s="58" t="s">
        <v>2176</v>
      </c>
      <c r="C268" s="3" t="s">
        <v>2793</v>
      </c>
      <c r="D268" s="97" t="s">
        <v>2177</v>
      </c>
      <c r="E268" s="94">
        <f>256000/1.1</f>
        <v>232727.2727272727</v>
      </c>
      <c r="F268" s="94">
        <v>169600</v>
      </c>
      <c r="G268" s="127">
        <f t="shared" si="5"/>
        <v>-0.27124999999999994</v>
      </c>
    </row>
    <row r="269" spans="1:7" s="56" customFormat="1" ht="17.25" customHeight="1">
      <c r="A269" s="3">
        <f>IF(E269="","",COUNTA($E269:E$1325))</f>
      </c>
      <c r="B269" s="47" t="s">
        <v>695</v>
      </c>
      <c r="C269" s="20"/>
      <c r="D269" s="62"/>
      <c r="E269" s="48"/>
      <c r="F269" s="48"/>
      <c r="G269" s="49"/>
    </row>
    <row r="270" spans="1:7" s="56" customFormat="1" ht="16.5">
      <c r="A270" s="3">
        <f>IF(E270="","",COUNTA($E270:E$1325))</f>
        <v>193</v>
      </c>
      <c r="B270" s="46" t="s">
        <v>696</v>
      </c>
      <c r="C270" s="21" t="s">
        <v>697</v>
      </c>
      <c r="D270" s="62"/>
      <c r="E270" s="114">
        <v>1936363.6363636362</v>
      </c>
      <c r="F270" s="114">
        <v>1936363.6363636362</v>
      </c>
      <c r="G270" s="127">
        <f t="shared" si="5"/>
        <v>0</v>
      </c>
    </row>
    <row r="271" spans="1:7" s="56" customFormat="1" ht="16.5">
      <c r="A271" s="3">
        <f>IF(E271="","",COUNTA($E271:E$1325))</f>
        <v>192</v>
      </c>
      <c r="B271" s="46" t="s">
        <v>698</v>
      </c>
      <c r="C271" s="21" t="s">
        <v>697</v>
      </c>
      <c r="D271" s="62"/>
      <c r="E271" s="114">
        <v>2163636.3636363633</v>
      </c>
      <c r="F271" s="114">
        <v>2163636.3636363633</v>
      </c>
      <c r="G271" s="127">
        <f t="shared" si="5"/>
        <v>0</v>
      </c>
    </row>
    <row r="272" spans="1:7" s="56" customFormat="1" ht="16.5">
      <c r="A272" s="3">
        <f>IF(E272="","",COUNTA($E272:E$1325))</f>
        <v>191</v>
      </c>
      <c r="B272" s="46" t="s">
        <v>699</v>
      </c>
      <c r="C272" s="21" t="s">
        <v>697</v>
      </c>
      <c r="D272" s="62"/>
      <c r="E272" s="114">
        <v>2818181.818181818</v>
      </c>
      <c r="F272" s="114">
        <v>2772727</v>
      </c>
      <c r="G272" s="127">
        <f t="shared" si="5"/>
        <v>-0.016129129032257963</v>
      </c>
    </row>
    <row r="273" spans="1:7" s="56" customFormat="1" ht="16.5">
      <c r="A273" s="3">
        <f>IF(E273="","",COUNTA($E273:E$1325))</f>
        <v>190</v>
      </c>
      <c r="B273" s="46" t="s">
        <v>700</v>
      </c>
      <c r="C273" s="21" t="s">
        <v>697</v>
      </c>
      <c r="D273" s="62"/>
      <c r="E273" s="114">
        <v>4318181.818181817</v>
      </c>
      <c r="F273" s="114">
        <v>4272727</v>
      </c>
      <c r="G273" s="127">
        <f t="shared" si="5"/>
        <v>-0.010526378947368246</v>
      </c>
    </row>
    <row r="274" spans="1:7" s="56" customFormat="1" ht="16.5">
      <c r="A274" s="3">
        <f>IF(E274="","",COUNTA($E274:E$1325))</f>
        <v>189</v>
      </c>
      <c r="B274" s="46" t="s">
        <v>701</v>
      </c>
      <c r="C274" s="21" t="s">
        <v>697</v>
      </c>
      <c r="D274" s="62"/>
      <c r="E274" s="114">
        <v>5500000</v>
      </c>
      <c r="F274" s="114">
        <v>5454545</v>
      </c>
      <c r="G274" s="127">
        <f t="shared" si="5"/>
        <v>-0.008264545454545455</v>
      </c>
    </row>
    <row r="275" spans="1:7" s="56" customFormat="1" ht="16.5">
      <c r="A275" s="3">
        <f>IF(E275="","",COUNTA($E275:E$1325))</f>
        <v>188</v>
      </c>
      <c r="B275" s="46" t="s">
        <v>702</v>
      </c>
      <c r="C275" s="21" t="s">
        <v>697</v>
      </c>
      <c r="D275" s="62"/>
      <c r="E275" s="114">
        <v>5909090.909090908</v>
      </c>
      <c r="F275" s="114">
        <v>5909090.909090908</v>
      </c>
      <c r="G275" s="127">
        <f t="shared" si="5"/>
        <v>0</v>
      </c>
    </row>
    <row r="276" spans="1:7" s="56" customFormat="1" ht="16.5">
      <c r="A276" s="3">
        <f>IF(E276="","",COUNTA($E276:E$1325))</f>
        <v>187</v>
      </c>
      <c r="B276" s="46" t="s">
        <v>703</v>
      </c>
      <c r="C276" s="21" t="s">
        <v>697</v>
      </c>
      <c r="D276" s="62"/>
      <c r="E276" s="114">
        <v>7090909.09090909</v>
      </c>
      <c r="F276" s="114">
        <v>7090909.09090909</v>
      </c>
      <c r="G276" s="127">
        <f t="shared" si="5"/>
        <v>0</v>
      </c>
    </row>
    <row r="277" spans="1:7" s="56" customFormat="1" ht="16.5">
      <c r="A277" s="3">
        <f>IF(E277="","",COUNTA($E277:E$1325))</f>
        <v>186</v>
      </c>
      <c r="B277" s="46" t="s">
        <v>704</v>
      </c>
      <c r="C277" s="21" t="s">
        <v>697</v>
      </c>
      <c r="D277" s="62"/>
      <c r="E277" s="114">
        <v>7499999.999999999</v>
      </c>
      <c r="F277" s="114">
        <v>7499999.999999999</v>
      </c>
      <c r="G277" s="127">
        <f t="shared" si="5"/>
        <v>0</v>
      </c>
    </row>
    <row r="278" spans="1:7" s="56" customFormat="1" ht="16.5">
      <c r="A278" s="3">
        <f>IF(E278="","",COUNTA($E278:E$1325))</f>
        <v>185</v>
      </c>
      <c r="B278" s="46" t="s">
        <v>705</v>
      </c>
      <c r="C278" s="21" t="s">
        <v>697</v>
      </c>
      <c r="D278" s="62"/>
      <c r="E278" s="114">
        <v>8227272.727272727</v>
      </c>
      <c r="F278" s="114">
        <v>8227272.727272727</v>
      </c>
      <c r="G278" s="127">
        <f t="shared" si="5"/>
        <v>0</v>
      </c>
    </row>
    <row r="279" spans="1:7" s="56" customFormat="1" ht="16.5">
      <c r="A279" s="3">
        <f>IF(E279="","",COUNTA($E279:E$1325))</f>
        <v>184</v>
      </c>
      <c r="B279" s="46" t="s">
        <v>706</v>
      </c>
      <c r="C279" s="21" t="s">
        <v>697</v>
      </c>
      <c r="D279" s="62"/>
      <c r="E279" s="114">
        <v>8590909.09090909</v>
      </c>
      <c r="F279" s="114">
        <v>8590909.09090909</v>
      </c>
      <c r="G279" s="127">
        <f t="shared" si="5"/>
        <v>0</v>
      </c>
    </row>
    <row r="280" spans="1:7" s="56" customFormat="1" ht="17.25">
      <c r="A280" s="3">
        <f>IF(E280="","",COUNTA($E280:E$1325))</f>
      </c>
      <c r="B280" s="47" t="s">
        <v>707</v>
      </c>
      <c r="C280" s="20"/>
      <c r="D280" s="62"/>
      <c r="E280" s="81"/>
      <c r="F280" s="81"/>
      <c r="G280" s="127"/>
    </row>
    <row r="281" spans="1:7" s="56" customFormat="1" ht="16.5">
      <c r="A281" s="3">
        <f>IF(E281="","",COUNTA($E281:E$1325))</f>
        <v>183</v>
      </c>
      <c r="B281" s="46" t="s">
        <v>696</v>
      </c>
      <c r="C281" s="21" t="s">
        <v>697</v>
      </c>
      <c r="D281" s="62"/>
      <c r="E281" s="114">
        <v>1818181.8181818181</v>
      </c>
      <c r="F281" s="114">
        <v>1818181.8181818181</v>
      </c>
      <c r="G281" s="127">
        <f t="shared" si="5"/>
        <v>0</v>
      </c>
    </row>
    <row r="282" spans="1:7" s="56" customFormat="1" ht="16.5">
      <c r="A282" s="3">
        <f>IF(E282="","",COUNTA($E282:E$1325))</f>
        <v>182</v>
      </c>
      <c r="B282" s="46" t="s">
        <v>698</v>
      </c>
      <c r="C282" s="21" t="s">
        <v>697</v>
      </c>
      <c r="D282" s="62"/>
      <c r="E282" s="114">
        <v>2045454.5454545452</v>
      </c>
      <c r="F282" s="114">
        <v>2045454.5454545452</v>
      </c>
      <c r="G282" s="127">
        <f t="shared" si="5"/>
        <v>0</v>
      </c>
    </row>
    <row r="283" spans="1:7" s="56" customFormat="1" ht="16.5">
      <c r="A283" s="3">
        <f>IF(E283="","",COUNTA($E283:E$1325))</f>
        <v>181</v>
      </c>
      <c r="B283" s="46" t="s">
        <v>699</v>
      </c>
      <c r="C283" s="21" t="s">
        <v>697</v>
      </c>
      <c r="D283" s="62"/>
      <c r="E283" s="114">
        <v>2636363.6363636362</v>
      </c>
      <c r="F283" s="114">
        <v>2636363.6363636362</v>
      </c>
      <c r="G283" s="127">
        <f t="shared" si="5"/>
        <v>0</v>
      </c>
    </row>
    <row r="284" spans="1:7" s="56" customFormat="1" ht="16.5">
      <c r="A284" s="3">
        <f>IF(E284="","",COUNTA($E284:E$1325))</f>
        <v>180</v>
      </c>
      <c r="B284" s="46" t="s">
        <v>700</v>
      </c>
      <c r="C284" s="21" t="s">
        <v>697</v>
      </c>
      <c r="D284" s="62"/>
      <c r="E284" s="114">
        <v>4045454.545454545</v>
      </c>
      <c r="F284" s="114">
        <v>4045454.545454545</v>
      </c>
      <c r="G284" s="127">
        <f t="shared" si="5"/>
        <v>0</v>
      </c>
    </row>
    <row r="285" spans="1:7" s="56" customFormat="1" ht="16.5">
      <c r="A285" s="3">
        <f>IF(E285="","",COUNTA($E285:E$1325))</f>
        <v>179</v>
      </c>
      <c r="B285" s="46" t="s">
        <v>701</v>
      </c>
      <c r="C285" s="21" t="s">
        <v>697</v>
      </c>
      <c r="D285" s="62"/>
      <c r="E285" s="114">
        <v>5181818.181818182</v>
      </c>
      <c r="F285" s="114">
        <v>5181818.181818182</v>
      </c>
      <c r="G285" s="127">
        <f t="shared" si="5"/>
        <v>0</v>
      </c>
    </row>
    <row r="286" spans="1:7" s="56" customFormat="1" ht="16.5">
      <c r="A286" s="3">
        <f>IF(E286="","",COUNTA($E286:E$1325))</f>
        <v>178</v>
      </c>
      <c r="B286" s="46" t="s">
        <v>702</v>
      </c>
      <c r="C286" s="21" t="s">
        <v>697</v>
      </c>
      <c r="D286" s="62"/>
      <c r="E286" s="114">
        <v>5500000</v>
      </c>
      <c r="F286" s="114">
        <v>5500000</v>
      </c>
      <c r="G286" s="127">
        <f t="shared" si="5"/>
        <v>0</v>
      </c>
    </row>
    <row r="287" spans="1:7" s="56" customFormat="1" ht="16.5">
      <c r="A287" s="3">
        <f>IF(E287="","",COUNTA($E287:E$1325))</f>
        <v>177</v>
      </c>
      <c r="B287" s="46" t="s">
        <v>703</v>
      </c>
      <c r="C287" s="21" t="s">
        <v>697</v>
      </c>
      <c r="D287" s="62"/>
      <c r="E287" s="114">
        <v>6636363.636363636</v>
      </c>
      <c r="F287" s="114">
        <v>6636363.636363636</v>
      </c>
      <c r="G287" s="127">
        <f t="shared" si="5"/>
        <v>0</v>
      </c>
    </row>
    <row r="288" spans="1:7" s="56" customFormat="1" ht="16.5">
      <c r="A288" s="3">
        <f>IF(E288="","",COUNTA($E288:E$1325))</f>
        <v>176</v>
      </c>
      <c r="B288" s="46" t="s">
        <v>704</v>
      </c>
      <c r="C288" s="21" t="s">
        <v>697</v>
      </c>
      <c r="D288" s="62"/>
      <c r="E288" s="114">
        <v>6954545.454545454</v>
      </c>
      <c r="F288" s="114">
        <v>6954545.454545454</v>
      </c>
      <c r="G288" s="127">
        <f t="shared" si="5"/>
        <v>0</v>
      </c>
    </row>
    <row r="289" spans="1:7" s="56" customFormat="1" ht="16.5">
      <c r="A289" s="3">
        <f>IF(E289="","",COUNTA($E289:E$1325))</f>
        <v>175</v>
      </c>
      <c r="B289" s="46" t="s">
        <v>705</v>
      </c>
      <c r="C289" s="21" t="s">
        <v>697</v>
      </c>
      <c r="D289" s="62"/>
      <c r="E289" s="114">
        <v>7681818.181818182</v>
      </c>
      <c r="F289" s="114">
        <v>7681818.181818182</v>
      </c>
      <c r="G289" s="127">
        <f t="shared" si="5"/>
        <v>0</v>
      </c>
    </row>
    <row r="290" spans="1:7" s="56" customFormat="1" ht="16.5">
      <c r="A290" s="3">
        <f>IF(E290="","",COUNTA($E290:E$1325))</f>
        <v>174</v>
      </c>
      <c r="B290" s="46" t="s">
        <v>706</v>
      </c>
      <c r="C290" s="21" t="s">
        <v>697</v>
      </c>
      <c r="D290" s="62"/>
      <c r="E290" s="114">
        <v>7999999.999999999</v>
      </c>
      <c r="F290" s="114">
        <v>7999999.999999999</v>
      </c>
      <c r="G290" s="127">
        <f t="shared" si="5"/>
        <v>0</v>
      </c>
    </row>
    <row r="291" spans="1:7" s="56" customFormat="1" ht="17.25" customHeight="1">
      <c r="A291" s="3">
        <f>IF(E291="","",COUNTA($E291:E$356))</f>
      </c>
      <c r="B291" s="32" t="s">
        <v>2786</v>
      </c>
      <c r="C291" s="44"/>
      <c r="D291" s="62"/>
      <c r="E291" s="106"/>
      <c r="F291" s="106"/>
      <c r="G291" s="127"/>
    </row>
    <row r="292" spans="1:7" s="56" customFormat="1" ht="16.5">
      <c r="A292" s="3">
        <f>IF(E292="","",COUNTA($E292:E$356))</f>
        <v>63</v>
      </c>
      <c r="B292" s="42" t="s">
        <v>2704</v>
      </c>
      <c r="C292" s="21" t="s">
        <v>1135</v>
      </c>
      <c r="D292" s="62" t="s">
        <v>86</v>
      </c>
      <c r="E292" s="107">
        <v>114545</v>
      </c>
      <c r="F292" s="107">
        <v>114545</v>
      </c>
      <c r="G292" s="127">
        <f t="shared" si="5"/>
        <v>0</v>
      </c>
    </row>
    <row r="293" spans="1:7" s="56" customFormat="1" ht="16.5">
      <c r="A293" s="3">
        <f>IF(E293="","",COUNTA($E293:E$356))</f>
        <v>62</v>
      </c>
      <c r="B293" s="42" t="s">
        <v>2705</v>
      </c>
      <c r="C293" s="21" t="s">
        <v>1135</v>
      </c>
      <c r="D293" s="62" t="s">
        <v>85</v>
      </c>
      <c r="E293" s="107">
        <v>113636</v>
      </c>
      <c r="F293" s="107">
        <v>124545</v>
      </c>
      <c r="G293" s="127">
        <f t="shared" si="5"/>
        <v>0.09599950719842304</v>
      </c>
    </row>
    <row r="294" spans="1:7" s="56" customFormat="1" ht="16.5">
      <c r="A294" s="3">
        <f>IF(E294="","",COUNTA($E294:E$356))</f>
        <v>61</v>
      </c>
      <c r="B294" s="42" t="s">
        <v>2706</v>
      </c>
      <c r="C294" s="21" t="s">
        <v>1135</v>
      </c>
      <c r="D294" s="62" t="s">
        <v>88</v>
      </c>
      <c r="E294" s="107">
        <v>100000</v>
      </c>
      <c r="F294" s="107">
        <v>106364</v>
      </c>
      <c r="G294" s="127">
        <f t="shared" si="5"/>
        <v>0.06364</v>
      </c>
    </row>
    <row r="295" spans="1:7" s="56" customFormat="1" ht="16.5">
      <c r="A295" s="3">
        <f>IF(E295="","",COUNTA($E295:E$356))</f>
        <v>60</v>
      </c>
      <c r="B295" s="42" t="s">
        <v>2707</v>
      </c>
      <c r="C295" s="21" t="s">
        <v>1135</v>
      </c>
      <c r="D295" s="62" t="s">
        <v>83</v>
      </c>
      <c r="E295" s="107">
        <v>98182</v>
      </c>
      <c r="F295" s="107">
        <v>103636</v>
      </c>
      <c r="G295" s="127">
        <f t="shared" si="5"/>
        <v>0.05554989712982013</v>
      </c>
    </row>
    <row r="296" spans="1:7" s="56" customFormat="1" ht="16.5">
      <c r="A296" s="3">
        <f>IF(E296="","",COUNTA($E296:E$356))</f>
        <v>59</v>
      </c>
      <c r="B296" s="42" t="s">
        <v>2708</v>
      </c>
      <c r="C296" s="21" t="s">
        <v>1135</v>
      </c>
      <c r="D296" s="62" t="s">
        <v>83</v>
      </c>
      <c r="E296" s="107">
        <v>100909</v>
      </c>
      <c r="F296" s="107">
        <v>106364</v>
      </c>
      <c r="G296" s="127">
        <f t="shared" si="5"/>
        <v>0.05405860726000654</v>
      </c>
    </row>
    <row r="297" spans="1:7" s="56" customFormat="1" ht="16.5">
      <c r="A297" s="3">
        <f>IF(E297="","",COUNTA($E297:E$356))</f>
        <v>58</v>
      </c>
      <c r="B297" s="42" t="s">
        <v>2709</v>
      </c>
      <c r="C297" s="21" t="s">
        <v>1135</v>
      </c>
      <c r="D297" s="62" t="s">
        <v>83</v>
      </c>
      <c r="E297" s="107">
        <v>140000</v>
      </c>
      <c r="F297" s="107">
        <v>151818</v>
      </c>
      <c r="G297" s="127">
        <f t="shared" si="5"/>
        <v>0.08441428571428572</v>
      </c>
    </row>
    <row r="298" spans="1:7" s="56" customFormat="1" ht="16.5">
      <c r="A298" s="3">
        <f>IF(E298="","",COUNTA($E298:E$356))</f>
        <v>57</v>
      </c>
      <c r="B298" s="42" t="s">
        <v>2710</v>
      </c>
      <c r="C298" s="21" t="s">
        <v>1135</v>
      </c>
      <c r="D298" s="62" t="s">
        <v>83</v>
      </c>
      <c r="E298" s="107">
        <v>151818</v>
      </c>
      <c r="F298" s="107">
        <v>161818</v>
      </c>
      <c r="G298" s="127">
        <f t="shared" si="5"/>
        <v>0.06586834235729623</v>
      </c>
    </row>
    <row r="299" spans="1:7" s="56" customFormat="1" ht="16.5">
      <c r="A299" s="3">
        <f>IF(E299="","",COUNTA($E299:E$356))</f>
        <v>56</v>
      </c>
      <c r="B299" s="42" t="s">
        <v>2711</v>
      </c>
      <c r="C299" s="21" t="s">
        <v>1135</v>
      </c>
      <c r="D299" s="62" t="s">
        <v>84</v>
      </c>
      <c r="E299" s="107">
        <v>207273</v>
      </c>
      <c r="F299" s="107">
        <v>221818</v>
      </c>
      <c r="G299" s="127">
        <f t="shared" si="5"/>
        <v>0.07017315328093866</v>
      </c>
    </row>
    <row r="300" spans="1:7" s="56" customFormat="1" ht="16.5">
      <c r="A300" s="3">
        <f>IF(E300="","",COUNTA($E300:E$356))</f>
        <v>55</v>
      </c>
      <c r="B300" s="42" t="s">
        <v>2712</v>
      </c>
      <c r="C300" s="21" t="s">
        <v>1135</v>
      </c>
      <c r="D300" s="62" t="s">
        <v>84</v>
      </c>
      <c r="E300" s="107">
        <v>247273</v>
      </c>
      <c r="F300" s="107">
        <v>262727</v>
      </c>
      <c r="G300" s="127">
        <f t="shared" si="5"/>
        <v>0.062497725186332516</v>
      </c>
    </row>
    <row r="301" spans="1:7" s="56" customFormat="1" ht="16.5">
      <c r="A301" s="3">
        <f>IF(E301="","",COUNTA($E301:E$356))</f>
        <v>54</v>
      </c>
      <c r="B301" s="42" t="s">
        <v>2713</v>
      </c>
      <c r="C301" s="21" t="s">
        <v>1135</v>
      </c>
      <c r="D301" s="62" t="s">
        <v>89</v>
      </c>
      <c r="E301" s="107">
        <v>177273</v>
      </c>
      <c r="F301" s="107">
        <v>181818</v>
      </c>
      <c r="G301" s="127">
        <f t="shared" si="5"/>
        <v>0.025638422094735238</v>
      </c>
    </row>
    <row r="302" spans="1:7" s="56" customFormat="1" ht="16.5">
      <c r="A302" s="3">
        <f>IF(E302="","",COUNTA($E302:E$356))</f>
        <v>53</v>
      </c>
      <c r="B302" s="42" t="s">
        <v>2714</v>
      </c>
      <c r="C302" s="21" t="s">
        <v>1135</v>
      </c>
      <c r="D302" s="62" t="s">
        <v>90</v>
      </c>
      <c r="E302" s="107">
        <v>252727</v>
      </c>
      <c r="F302" s="107">
        <v>252727</v>
      </c>
      <c r="G302" s="127">
        <f t="shared" si="5"/>
        <v>0</v>
      </c>
    </row>
    <row r="303" spans="1:7" s="56" customFormat="1" ht="16.5">
      <c r="A303" s="3">
        <f>IF(E303="","",COUNTA($E303:E$356))</f>
        <v>52</v>
      </c>
      <c r="B303" s="42" t="s">
        <v>2715</v>
      </c>
      <c r="C303" s="21" t="s">
        <v>1135</v>
      </c>
      <c r="D303" s="62" t="s">
        <v>91</v>
      </c>
      <c r="E303" s="107">
        <v>393636</v>
      </c>
      <c r="F303" s="107">
        <v>393636</v>
      </c>
      <c r="G303" s="127">
        <f t="shared" si="5"/>
        <v>0</v>
      </c>
    </row>
    <row r="304" spans="1:7" s="56" customFormat="1" ht="16.5">
      <c r="A304" s="3">
        <f>IF(E304="","",COUNTA($E304:E$356))</f>
        <v>51</v>
      </c>
      <c r="B304" s="42" t="s">
        <v>2716</v>
      </c>
      <c r="C304" s="21" t="s">
        <v>1135</v>
      </c>
      <c r="D304" s="62" t="s">
        <v>92</v>
      </c>
      <c r="E304" s="107">
        <v>338182</v>
      </c>
      <c r="F304" s="107">
        <v>348182</v>
      </c>
      <c r="G304" s="127">
        <f t="shared" si="5"/>
        <v>0.029569876575335174</v>
      </c>
    </row>
    <row r="305" spans="1:7" s="56" customFormat="1" ht="16.5">
      <c r="A305" s="3">
        <f>IF(E305="","",COUNTA($E305:E$356))</f>
        <v>50</v>
      </c>
      <c r="B305" s="46" t="s">
        <v>179</v>
      </c>
      <c r="C305" s="21" t="s">
        <v>1135</v>
      </c>
      <c r="D305" s="62" t="s">
        <v>85</v>
      </c>
      <c r="E305" s="107">
        <v>93636</v>
      </c>
      <c r="F305" s="107">
        <v>98182</v>
      </c>
      <c r="G305" s="127">
        <f t="shared" si="5"/>
        <v>0.048549703105643126</v>
      </c>
    </row>
    <row r="306" spans="1:7" s="56" customFormat="1" ht="33" customHeight="1">
      <c r="A306" s="3">
        <f>IF(E306="","",COUNTA($E306:E$356))</f>
        <v>49</v>
      </c>
      <c r="B306" s="46" t="s">
        <v>180</v>
      </c>
      <c r="C306" s="21" t="s">
        <v>1135</v>
      </c>
      <c r="D306" s="62" t="s">
        <v>85</v>
      </c>
      <c r="E306" s="107">
        <v>108182</v>
      </c>
      <c r="F306" s="107">
        <v>116346</v>
      </c>
      <c r="G306" s="127">
        <f t="shared" si="5"/>
        <v>0.07546541938584977</v>
      </c>
    </row>
    <row r="307" spans="1:7" s="56" customFormat="1" ht="33" customHeight="1">
      <c r="A307" s="3">
        <f>IF(E307="","",COUNTA($E307:E$356))</f>
        <v>48</v>
      </c>
      <c r="B307" s="46" t="s">
        <v>181</v>
      </c>
      <c r="C307" s="21" t="s">
        <v>1135</v>
      </c>
      <c r="D307" s="62" t="s">
        <v>85</v>
      </c>
      <c r="E307" s="107">
        <v>113636</v>
      </c>
      <c r="F307" s="107">
        <v>119091</v>
      </c>
      <c r="G307" s="127">
        <f t="shared" si="5"/>
        <v>0.048004153613291564</v>
      </c>
    </row>
    <row r="308" spans="1:7" s="56" customFormat="1" ht="16.5">
      <c r="A308" s="3">
        <f>IF(E308="","",COUNTA($E308:E$356))</f>
        <v>47</v>
      </c>
      <c r="B308" s="46" t="s">
        <v>182</v>
      </c>
      <c r="C308" s="21" t="s">
        <v>1135</v>
      </c>
      <c r="D308" s="62" t="s">
        <v>88</v>
      </c>
      <c r="E308" s="107">
        <v>84545</v>
      </c>
      <c r="F308" s="107">
        <v>90909</v>
      </c>
      <c r="G308" s="127">
        <f t="shared" si="5"/>
        <v>0.07527352297592997</v>
      </c>
    </row>
    <row r="309" spans="1:7" s="56" customFormat="1" ht="16.5">
      <c r="A309" s="3">
        <f>IF(E309="","",COUNTA($E309:E$356))</f>
        <v>46</v>
      </c>
      <c r="B309" s="46" t="s">
        <v>183</v>
      </c>
      <c r="C309" s="21" t="s">
        <v>2748</v>
      </c>
      <c r="D309" s="62" t="s">
        <v>184</v>
      </c>
      <c r="E309" s="107">
        <v>136364</v>
      </c>
      <c r="F309" s="107">
        <v>151818</v>
      </c>
      <c r="G309" s="127">
        <f t="shared" si="5"/>
        <v>0.11332903112258368</v>
      </c>
    </row>
    <row r="310" spans="1:7" s="56" customFormat="1" ht="16.5">
      <c r="A310" s="3">
        <f>IF(E310="","",COUNTA($E310:E$356))</f>
        <v>45</v>
      </c>
      <c r="B310" s="46" t="s">
        <v>185</v>
      </c>
      <c r="C310" s="21" t="s">
        <v>2748</v>
      </c>
      <c r="D310" s="62" t="s">
        <v>184</v>
      </c>
      <c r="E310" s="107">
        <v>140909</v>
      </c>
      <c r="F310" s="107">
        <v>156346</v>
      </c>
      <c r="G310" s="127">
        <f t="shared" si="5"/>
        <v>0.10955297390514446</v>
      </c>
    </row>
    <row r="311" spans="1:7" s="56" customFormat="1" ht="16.5">
      <c r="A311" s="3">
        <f>IF(E311="","",COUNTA($E311:E$356))</f>
        <v>44</v>
      </c>
      <c r="B311" s="46" t="s">
        <v>186</v>
      </c>
      <c r="C311" s="21" t="s">
        <v>1135</v>
      </c>
      <c r="D311" s="62" t="s">
        <v>83</v>
      </c>
      <c r="E311" s="107">
        <v>126364</v>
      </c>
      <c r="F311" s="107">
        <v>130909</v>
      </c>
      <c r="G311" s="127">
        <f t="shared" si="5"/>
        <v>0.035967522395619005</v>
      </c>
    </row>
    <row r="312" spans="1:7" s="56" customFormat="1" ht="16.5">
      <c r="A312" s="3">
        <f>IF(E312="","",COUNTA($E312:E$356))</f>
        <v>43</v>
      </c>
      <c r="B312" s="46" t="s">
        <v>187</v>
      </c>
      <c r="C312" s="21" t="s">
        <v>1135</v>
      </c>
      <c r="D312" s="62" t="s">
        <v>83</v>
      </c>
      <c r="E312" s="107">
        <v>126364</v>
      </c>
      <c r="F312" s="107">
        <v>126364</v>
      </c>
      <c r="G312" s="127">
        <f t="shared" si="5"/>
        <v>0</v>
      </c>
    </row>
    <row r="313" spans="1:7" s="56" customFormat="1" ht="16.5">
      <c r="A313" s="3">
        <f>IF(E313="","",COUNTA($E313:E$356))</f>
        <v>42</v>
      </c>
      <c r="B313" s="46" t="s">
        <v>188</v>
      </c>
      <c r="C313" s="21" t="s">
        <v>1135</v>
      </c>
      <c r="D313" s="62" t="s">
        <v>83</v>
      </c>
      <c r="E313" s="107">
        <v>166364</v>
      </c>
      <c r="F313" s="107">
        <v>171818</v>
      </c>
      <c r="G313" s="127">
        <f t="shared" si="5"/>
        <v>0.03278353489937727</v>
      </c>
    </row>
    <row r="314" spans="1:7" s="56" customFormat="1" ht="16.5">
      <c r="A314" s="3">
        <f>IF(E314="","",COUNTA($E314:E$356))</f>
        <v>41</v>
      </c>
      <c r="B314" s="46" t="s">
        <v>189</v>
      </c>
      <c r="C314" s="21" t="s">
        <v>1135</v>
      </c>
      <c r="D314" s="62" t="s">
        <v>83</v>
      </c>
      <c r="E314" s="107">
        <v>174545</v>
      </c>
      <c r="F314" s="107">
        <v>174545</v>
      </c>
      <c r="G314" s="127">
        <f t="shared" si="5"/>
        <v>0</v>
      </c>
    </row>
    <row r="315" spans="1:7" s="56" customFormat="1" ht="16.5">
      <c r="A315" s="3">
        <f>IF(E315="","",COUNTA($E315:E$356))</f>
        <v>40</v>
      </c>
      <c r="B315" s="46" t="s">
        <v>190</v>
      </c>
      <c r="C315" s="21" t="s">
        <v>1135</v>
      </c>
      <c r="D315" s="62" t="s">
        <v>83</v>
      </c>
      <c r="E315" s="107">
        <v>231818</v>
      </c>
      <c r="F315" s="107">
        <v>231818</v>
      </c>
      <c r="G315" s="127">
        <f t="shared" si="5"/>
        <v>0</v>
      </c>
    </row>
    <row r="316" spans="1:7" s="56" customFormat="1" ht="16.5">
      <c r="A316" s="3">
        <f>IF(E316="","",COUNTA($E316:E$356))</f>
        <v>39</v>
      </c>
      <c r="B316" s="46" t="s">
        <v>191</v>
      </c>
      <c r="C316" s="21" t="s">
        <v>1135</v>
      </c>
      <c r="D316" s="62" t="s">
        <v>83</v>
      </c>
      <c r="E316" s="107">
        <v>242727</v>
      </c>
      <c r="F316" s="107">
        <v>242727</v>
      </c>
      <c r="G316" s="127">
        <f t="shared" si="5"/>
        <v>0</v>
      </c>
    </row>
    <row r="317" spans="1:7" s="56" customFormat="1" ht="16.5">
      <c r="A317" s="3">
        <f>IF(E317="","",COUNTA($E317:E$356))</f>
        <v>38</v>
      </c>
      <c r="B317" s="46" t="s">
        <v>192</v>
      </c>
      <c r="C317" s="21" t="s">
        <v>1135</v>
      </c>
      <c r="D317" s="62" t="s">
        <v>84</v>
      </c>
      <c r="E317" s="107">
        <v>363636</v>
      </c>
      <c r="F317" s="107">
        <v>363636</v>
      </c>
      <c r="G317" s="127">
        <f t="shared" si="5"/>
        <v>0</v>
      </c>
    </row>
    <row r="318" spans="1:7" s="56" customFormat="1" ht="16.5">
      <c r="A318" s="3">
        <f>IF(E318="","",COUNTA($E318:E$356))</f>
        <v>37</v>
      </c>
      <c r="B318" s="46" t="s">
        <v>193</v>
      </c>
      <c r="C318" s="21" t="s">
        <v>1135</v>
      </c>
      <c r="D318" s="62" t="s">
        <v>84</v>
      </c>
      <c r="E318" s="107">
        <v>384545</v>
      </c>
      <c r="F318" s="107">
        <v>384545</v>
      </c>
      <c r="G318" s="127">
        <f t="shared" si="5"/>
        <v>0</v>
      </c>
    </row>
    <row r="319" spans="1:7" s="56" customFormat="1" ht="17.25">
      <c r="A319" s="3">
        <f>IF(E319="","",COUNTA($E319:E$356))</f>
      </c>
      <c r="B319" s="31" t="s">
        <v>2787</v>
      </c>
      <c r="C319" s="21"/>
      <c r="D319" s="62"/>
      <c r="E319" s="107"/>
      <c r="F319" s="107"/>
      <c r="G319" s="127"/>
    </row>
    <row r="320" spans="1:7" s="56" customFormat="1" ht="19.5">
      <c r="A320" s="3">
        <f>IF(E320="","",COUNTA($E320:E$356))</f>
        <v>36</v>
      </c>
      <c r="B320" s="42" t="s">
        <v>2717</v>
      </c>
      <c r="C320" s="21" t="s">
        <v>178</v>
      </c>
      <c r="D320" s="62" t="s">
        <v>93</v>
      </c>
      <c r="E320" s="107">
        <v>160000</v>
      </c>
      <c r="F320" s="107">
        <v>160000</v>
      </c>
      <c r="G320" s="127">
        <f t="shared" si="5"/>
        <v>0</v>
      </c>
    </row>
    <row r="321" spans="1:7" s="56" customFormat="1" ht="19.5">
      <c r="A321" s="3">
        <f>IF(E321="","",COUNTA($E321:E$356))</f>
        <v>35</v>
      </c>
      <c r="B321" s="42" t="s">
        <v>2718</v>
      </c>
      <c r="C321" s="21" t="s">
        <v>178</v>
      </c>
      <c r="D321" s="62" t="s">
        <v>89</v>
      </c>
      <c r="E321" s="107">
        <v>192727</v>
      </c>
      <c r="F321" s="107">
        <v>192727</v>
      </c>
      <c r="G321" s="127">
        <f t="shared" si="5"/>
        <v>0</v>
      </c>
    </row>
    <row r="322" spans="1:7" s="56" customFormat="1" ht="19.5">
      <c r="A322" s="3">
        <f>IF(E322="","",COUNTA($E322:E$356))</f>
        <v>34</v>
      </c>
      <c r="B322" s="42" t="s">
        <v>2719</v>
      </c>
      <c r="C322" s="21" t="s">
        <v>178</v>
      </c>
      <c r="D322" s="62" t="s">
        <v>90</v>
      </c>
      <c r="E322" s="107">
        <v>231818</v>
      </c>
      <c r="F322" s="107">
        <v>231818</v>
      </c>
      <c r="G322" s="127">
        <f t="shared" si="5"/>
        <v>0</v>
      </c>
    </row>
    <row r="323" spans="1:7" s="56" customFormat="1" ht="19.5">
      <c r="A323" s="3">
        <f>IF(E323="","",COUNTA($E323:E$356))</f>
        <v>33</v>
      </c>
      <c r="B323" s="42" t="s">
        <v>2720</v>
      </c>
      <c r="C323" s="21" t="s">
        <v>178</v>
      </c>
      <c r="D323" s="62" t="s">
        <v>94</v>
      </c>
      <c r="E323" s="107">
        <v>222727</v>
      </c>
      <c r="F323" s="107">
        <v>222727</v>
      </c>
      <c r="G323" s="127">
        <f t="shared" si="5"/>
        <v>0</v>
      </c>
    </row>
    <row r="324" spans="1:7" s="56" customFormat="1" ht="16.5">
      <c r="A324" s="3">
        <f>IF(E324="","",COUNTA($E324:E$356))</f>
        <v>32</v>
      </c>
      <c r="B324" s="42" t="s">
        <v>2721</v>
      </c>
      <c r="C324" s="21" t="s">
        <v>1135</v>
      </c>
      <c r="D324" s="62" t="s">
        <v>83</v>
      </c>
      <c r="E324" s="107">
        <v>140000</v>
      </c>
      <c r="F324" s="107">
        <v>141818</v>
      </c>
      <c r="G324" s="127">
        <f t="shared" si="5"/>
        <v>0.012985714285714286</v>
      </c>
    </row>
    <row r="325" spans="1:7" s="56" customFormat="1" ht="16.5">
      <c r="A325" s="3">
        <f>IF(E325="","",COUNTA($E325:E$356))</f>
        <v>31</v>
      </c>
      <c r="B325" s="42" t="s">
        <v>2722</v>
      </c>
      <c r="C325" s="21" t="s">
        <v>1135</v>
      </c>
      <c r="D325" s="62" t="s">
        <v>83</v>
      </c>
      <c r="E325" s="107">
        <v>146364</v>
      </c>
      <c r="F325" s="107">
        <v>146364</v>
      </c>
      <c r="G325" s="127">
        <f t="shared" si="5"/>
        <v>0</v>
      </c>
    </row>
    <row r="326" spans="1:7" s="56" customFormat="1" ht="16.5">
      <c r="A326" s="3">
        <f>IF(E326="","",COUNTA($E326:E$356))</f>
        <v>30</v>
      </c>
      <c r="B326" s="42" t="s">
        <v>2723</v>
      </c>
      <c r="C326" s="21" t="s">
        <v>1135</v>
      </c>
      <c r="D326" s="62" t="s">
        <v>83</v>
      </c>
      <c r="E326" s="107">
        <v>154545</v>
      </c>
      <c r="F326" s="107">
        <v>157273</v>
      </c>
      <c r="G326" s="127">
        <f aca="true" t="shared" si="6" ref="G326:G389">(F326-E326)/E326</f>
        <v>0.017651816622990067</v>
      </c>
    </row>
    <row r="327" spans="1:7" s="56" customFormat="1" ht="16.5">
      <c r="A327" s="3">
        <f>IF(E327="","",COUNTA($E327:E$356))</f>
        <v>29</v>
      </c>
      <c r="B327" s="42" t="s">
        <v>2724</v>
      </c>
      <c r="C327" s="21" t="s">
        <v>1135</v>
      </c>
      <c r="D327" s="62" t="s">
        <v>83</v>
      </c>
      <c r="E327" s="107">
        <v>156364</v>
      </c>
      <c r="F327" s="107">
        <v>162727</v>
      </c>
      <c r="G327" s="127">
        <f t="shared" si="6"/>
        <v>0.04069351001509299</v>
      </c>
    </row>
    <row r="328" spans="1:7" s="56" customFormat="1" ht="16.5">
      <c r="A328" s="3">
        <f>IF(E328="","",COUNTA($E328:E$356))</f>
        <v>28</v>
      </c>
      <c r="B328" s="42" t="s">
        <v>2725</v>
      </c>
      <c r="C328" s="21" t="s">
        <v>1135</v>
      </c>
      <c r="D328" s="62" t="s">
        <v>84</v>
      </c>
      <c r="E328" s="107">
        <v>195455</v>
      </c>
      <c r="F328" s="107">
        <v>201818</v>
      </c>
      <c r="G328" s="127">
        <f t="shared" si="6"/>
        <v>0.03255480801207439</v>
      </c>
    </row>
    <row r="329" spans="1:7" s="56" customFormat="1" ht="16.5">
      <c r="A329" s="3">
        <f>IF(E329="","",COUNTA($E329:E$356))</f>
        <v>27</v>
      </c>
      <c r="B329" s="42" t="s">
        <v>2726</v>
      </c>
      <c r="C329" s="21" t="s">
        <v>1135</v>
      </c>
      <c r="D329" s="62" t="s">
        <v>84</v>
      </c>
      <c r="E329" s="107">
        <v>210000</v>
      </c>
      <c r="F329" s="107">
        <v>215455</v>
      </c>
      <c r="G329" s="127">
        <f t="shared" si="6"/>
        <v>0.025976190476190476</v>
      </c>
    </row>
    <row r="330" spans="1:7" s="56" customFormat="1" ht="16.5">
      <c r="A330" s="3">
        <f>IF(E330="","",COUNTA($E330:E$356))</f>
        <v>26</v>
      </c>
      <c r="B330" s="22" t="s">
        <v>2727</v>
      </c>
      <c r="C330" s="21" t="s">
        <v>1135</v>
      </c>
      <c r="D330" s="62" t="s">
        <v>83</v>
      </c>
      <c r="E330" s="107">
        <v>98182</v>
      </c>
      <c r="F330" s="107">
        <v>100909</v>
      </c>
      <c r="G330" s="127">
        <f t="shared" si="6"/>
        <v>0.027774948564910064</v>
      </c>
    </row>
    <row r="331" spans="1:7" s="56" customFormat="1" ht="16.5">
      <c r="A331" s="3">
        <f>IF(E331="","",COUNTA($E331:E$356))</f>
        <v>25</v>
      </c>
      <c r="B331" s="22" t="s">
        <v>2728</v>
      </c>
      <c r="C331" s="21" t="s">
        <v>1135</v>
      </c>
      <c r="D331" s="62" t="s">
        <v>83</v>
      </c>
      <c r="E331" s="107">
        <v>101818</v>
      </c>
      <c r="F331" s="107">
        <v>101818</v>
      </c>
      <c r="G331" s="127">
        <f t="shared" si="6"/>
        <v>0</v>
      </c>
    </row>
    <row r="332" spans="1:7" s="56" customFormat="1" ht="16.5">
      <c r="A332" s="3">
        <f>IF(E332="","",COUNTA($E332:E$356))</f>
        <v>24</v>
      </c>
      <c r="B332" s="22" t="s">
        <v>2729</v>
      </c>
      <c r="C332" s="21" t="s">
        <v>1135</v>
      </c>
      <c r="D332" s="62" t="s">
        <v>92</v>
      </c>
      <c r="E332" s="107">
        <v>336364</v>
      </c>
      <c r="F332" s="107">
        <v>336364</v>
      </c>
      <c r="G332" s="127">
        <f t="shared" si="6"/>
        <v>0</v>
      </c>
    </row>
    <row r="333" spans="1:7" s="56" customFormat="1" ht="16.5">
      <c r="A333" s="3">
        <f>IF(E333="","",COUNTA($E333:E$356))</f>
        <v>23</v>
      </c>
      <c r="B333" s="22" t="s">
        <v>2730</v>
      </c>
      <c r="C333" s="21" t="s">
        <v>1135</v>
      </c>
      <c r="D333" s="62" t="s">
        <v>91</v>
      </c>
      <c r="E333" s="107">
        <v>404545</v>
      </c>
      <c r="F333" s="107">
        <v>404545</v>
      </c>
      <c r="G333" s="127">
        <f t="shared" si="6"/>
        <v>0</v>
      </c>
    </row>
    <row r="334" spans="1:7" s="56" customFormat="1" ht="33" customHeight="1">
      <c r="A334" s="3">
        <f>IF(E334="","",COUNTA($E334:E$356))</f>
        <v>22</v>
      </c>
      <c r="B334" s="46" t="s">
        <v>194</v>
      </c>
      <c r="C334" s="21" t="s">
        <v>1135</v>
      </c>
      <c r="D334" s="62" t="s">
        <v>85</v>
      </c>
      <c r="E334" s="107">
        <v>109091</v>
      </c>
      <c r="F334" s="107">
        <v>107273</v>
      </c>
      <c r="G334" s="127">
        <f t="shared" si="6"/>
        <v>-0.016664986112511573</v>
      </c>
    </row>
    <row r="335" spans="1:7" s="56" customFormat="1" ht="33" customHeight="1">
      <c r="A335" s="3">
        <f>IF(E335="","",COUNTA($E335:E$356))</f>
        <v>21</v>
      </c>
      <c r="B335" s="46" t="s">
        <v>195</v>
      </c>
      <c r="C335" s="21" t="s">
        <v>1135</v>
      </c>
      <c r="D335" s="62" t="s">
        <v>85</v>
      </c>
      <c r="E335" s="107">
        <v>113636</v>
      </c>
      <c r="F335" s="107">
        <v>113636</v>
      </c>
      <c r="G335" s="127">
        <f t="shared" si="6"/>
        <v>0</v>
      </c>
    </row>
    <row r="336" spans="1:7" s="56" customFormat="1" ht="33" customHeight="1">
      <c r="A336" s="3">
        <f>IF(E336="","",COUNTA($E336:E$356))</f>
        <v>20</v>
      </c>
      <c r="B336" s="46" t="s">
        <v>196</v>
      </c>
      <c r="C336" s="21" t="s">
        <v>1135</v>
      </c>
      <c r="D336" s="62" t="s">
        <v>85</v>
      </c>
      <c r="E336" s="107">
        <v>125455</v>
      </c>
      <c r="F336" s="107">
        <v>125455</v>
      </c>
      <c r="G336" s="127">
        <f t="shared" si="6"/>
        <v>0</v>
      </c>
    </row>
    <row r="337" spans="1:7" s="56" customFormat="1" ht="16.5">
      <c r="A337" s="3">
        <f>IF(E337="","",COUNTA($E337:E$356))</f>
        <v>19</v>
      </c>
      <c r="B337" s="46" t="s">
        <v>197</v>
      </c>
      <c r="C337" s="21" t="s">
        <v>2748</v>
      </c>
      <c r="D337" s="62" t="s">
        <v>86</v>
      </c>
      <c r="E337" s="107">
        <v>121818</v>
      </c>
      <c r="F337" s="107">
        <v>121818</v>
      </c>
      <c r="G337" s="127">
        <f t="shared" si="6"/>
        <v>0</v>
      </c>
    </row>
    <row r="338" spans="1:7" s="56" customFormat="1" ht="16.5">
      <c r="A338" s="3">
        <f>IF(E338="","",COUNTA($E338:E$356))</f>
        <v>18</v>
      </c>
      <c r="B338" s="46" t="s">
        <v>198</v>
      </c>
      <c r="C338" s="21" t="s">
        <v>2748</v>
      </c>
      <c r="D338" s="62" t="s">
        <v>184</v>
      </c>
      <c r="E338" s="107">
        <v>139091</v>
      </c>
      <c r="F338" s="107">
        <v>139091</v>
      </c>
      <c r="G338" s="127">
        <f t="shared" si="6"/>
        <v>0</v>
      </c>
    </row>
    <row r="339" spans="1:7" s="56" customFormat="1" ht="16.5">
      <c r="A339" s="3">
        <f>IF(E339="","",COUNTA($E339:E$356))</f>
        <v>17</v>
      </c>
      <c r="B339" s="46" t="s">
        <v>199</v>
      </c>
      <c r="C339" s="21" t="s">
        <v>1135</v>
      </c>
      <c r="D339" s="62" t="s">
        <v>88</v>
      </c>
      <c r="E339" s="107">
        <v>101818</v>
      </c>
      <c r="F339" s="107">
        <v>101818</v>
      </c>
      <c r="G339" s="127">
        <f t="shared" si="6"/>
        <v>0</v>
      </c>
    </row>
    <row r="340" spans="1:7" s="56" customFormat="1" ht="17.25">
      <c r="A340" s="3">
        <f>IF(E340="","",COUNTA($E340:E$356))</f>
      </c>
      <c r="B340" s="35" t="s">
        <v>2788</v>
      </c>
      <c r="C340" s="108"/>
      <c r="D340" s="62"/>
      <c r="E340" s="107"/>
      <c r="F340" s="107"/>
      <c r="G340" s="127"/>
    </row>
    <row r="341" spans="1:7" s="56" customFormat="1" ht="33" customHeight="1">
      <c r="A341" s="3">
        <f>IF(E341="","",COUNTA($E341:E$356))</f>
        <v>16</v>
      </c>
      <c r="B341" s="42" t="s">
        <v>2731</v>
      </c>
      <c r="C341" s="21" t="s">
        <v>1135</v>
      </c>
      <c r="D341" s="62" t="s">
        <v>85</v>
      </c>
      <c r="E341" s="107">
        <v>109091</v>
      </c>
      <c r="F341" s="107">
        <v>109091</v>
      </c>
      <c r="G341" s="127">
        <f t="shared" si="6"/>
        <v>0</v>
      </c>
    </row>
    <row r="342" spans="1:7" s="56" customFormat="1" ht="16.5">
      <c r="A342" s="3">
        <f>IF(E342="","",COUNTA($E342:E$356))</f>
        <v>15</v>
      </c>
      <c r="B342" s="22" t="s">
        <v>2732</v>
      </c>
      <c r="C342" s="21" t="s">
        <v>1135</v>
      </c>
      <c r="D342" s="62" t="s">
        <v>85</v>
      </c>
      <c r="E342" s="107">
        <v>116364</v>
      </c>
      <c r="F342" s="107">
        <v>119091</v>
      </c>
      <c r="G342" s="127">
        <f t="shared" si="6"/>
        <v>0.023435083015365576</v>
      </c>
    </row>
    <row r="343" spans="1:7" s="56" customFormat="1" ht="16.5">
      <c r="A343" s="3">
        <f>IF(E343="","",COUNTA($E343:E$356))</f>
        <v>14</v>
      </c>
      <c r="B343" s="22" t="s">
        <v>2733</v>
      </c>
      <c r="C343" s="21" t="s">
        <v>1135</v>
      </c>
      <c r="D343" s="62" t="s">
        <v>93</v>
      </c>
      <c r="E343" s="107">
        <v>129091</v>
      </c>
      <c r="F343" s="107">
        <v>134545</v>
      </c>
      <c r="G343" s="127">
        <f t="shared" si="6"/>
        <v>0.042249266021643646</v>
      </c>
    </row>
    <row r="344" spans="1:7" s="56" customFormat="1" ht="16.5">
      <c r="A344" s="3">
        <f>IF(E344="","",COUNTA($E344:E$356))</f>
        <v>13</v>
      </c>
      <c r="B344" s="22" t="s">
        <v>2734</v>
      </c>
      <c r="C344" s="21" t="s">
        <v>1135</v>
      </c>
      <c r="D344" s="62" t="s">
        <v>93</v>
      </c>
      <c r="E344" s="107">
        <v>163636</v>
      </c>
      <c r="F344" s="107">
        <v>163636</v>
      </c>
      <c r="G344" s="127">
        <f t="shared" si="6"/>
        <v>0</v>
      </c>
    </row>
    <row r="345" spans="1:7" s="56" customFormat="1" ht="33" customHeight="1">
      <c r="A345" s="3">
        <f>IF(E345="","",COUNTA($E345:E$356))</f>
        <v>12</v>
      </c>
      <c r="B345" s="42" t="s">
        <v>2735</v>
      </c>
      <c r="C345" s="21" t="s">
        <v>1135</v>
      </c>
      <c r="D345" s="62" t="s">
        <v>83</v>
      </c>
      <c r="E345" s="107">
        <v>103636</v>
      </c>
      <c r="F345" s="107">
        <v>108182</v>
      </c>
      <c r="G345" s="127">
        <f t="shared" si="6"/>
        <v>0.043865066193214716</v>
      </c>
    </row>
    <row r="346" spans="1:7" s="56" customFormat="1" ht="33" customHeight="1">
      <c r="A346" s="3">
        <f>IF(E346="","",COUNTA($E346:E$356))</f>
        <v>11</v>
      </c>
      <c r="B346" s="42" t="s">
        <v>2736</v>
      </c>
      <c r="C346" s="21" t="s">
        <v>1135</v>
      </c>
      <c r="D346" s="62" t="s">
        <v>83</v>
      </c>
      <c r="E346" s="107">
        <v>114545</v>
      </c>
      <c r="F346" s="107">
        <v>114545</v>
      </c>
      <c r="G346" s="127">
        <f t="shared" si="6"/>
        <v>0</v>
      </c>
    </row>
    <row r="347" spans="1:7" s="56" customFormat="1" ht="33" customHeight="1">
      <c r="A347" s="3">
        <f>IF(E347="","",COUNTA($E347:E$356))</f>
        <v>10</v>
      </c>
      <c r="B347" s="42" t="s">
        <v>2737</v>
      </c>
      <c r="C347" s="21" t="s">
        <v>1135</v>
      </c>
      <c r="D347" s="62" t="s">
        <v>83</v>
      </c>
      <c r="E347" s="107">
        <v>109091</v>
      </c>
      <c r="F347" s="107">
        <v>114545</v>
      </c>
      <c r="G347" s="127">
        <f t="shared" si="6"/>
        <v>0.04999495833753472</v>
      </c>
    </row>
    <row r="348" spans="1:7" s="56" customFormat="1" ht="33" customHeight="1">
      <c r="A348" s="3">
        <f>IF(E348="","",COUNTA($E348:E$356))</f>
        <v>9</v>
      </c>
      <c r="B348" s="42" t="s">
        <v>2738</v>
      </c>
      <c r="C348" s="21" t="s">
        <v>1135</v>
      </c>
      <c r="D348" s="62" t="s">
        <v>83</v>
      </c>
      <c r="E348" s="107">
        <v>118182</v>
      </c>
      <c r="F348" s="107">
        <v>118182</v>
      </c>
      <c r="G348" s="127">
        <f t="shared" si="6"/>
        <v>0</v>
      </c>
    </row>
    <row r="349" spans="1:7" s="56" customFormat="1" ht="16.5">
      <c r="A349" s="3">
        <f>IF(E349="","",COUNTA($E349:E$356))</f>
        <v>8</v>
      </c>
      <c r="B349" s="42" t="s">
        <v>2739</v>
      </c>
      <c r="C349" s="21" t="s">
        <v>1135</v>
      </c>
      <c r="D349" s="62" t="s">
        <v>83</v>
      </c>
      <c r="E349" s="107">
        <v>140000</v>
      </c>
      <c r="F349" s="107">
        <v>147273</v>
      </c>
      <c r="G349" s="127">
        <f t="shared" si="6"/>
        <v>0.05195</v>
      </c>
    </row>
    <row r="350" spans="1:7" s="56" customFormat="1" ht="16.5">
      <c r="A350" s="3">
        <f>IF(E350="","",COUNTA($E350:E$356))</f>
        <v>7</v>
      </c>
      <c r="B350" s="42" t="s">
        <v>2740</v>
      </c>
      <c r="C350" s="21" t="s">
        <v>1135</v>
      </c>
      <c r="D350" s="62" t="s">
        <v>83</v>
      </c>
      <c r="E350" s="107">
        <v>155455</v>
      </c>
      <c r="F350" s="107">
        <v>160909</v>
      </c>
      <c r="G350" s="127">
        <f t="shared" si="6"/>
        <v>0.03508410794120485</v>
      </c>
    </row>
    <row r="351" spans="1:7" s="56" customFormat="1" ht="16.5">
      <c r="A351" s="3">
        <f>IF(E351="","",COUNTA($E351:E$356))</f>
        <v>6</v>
      </c>
      <c r="B351" s="46" t="s">
        <v>200</v>
      </c>
      <c r="C351" s="21" t="s">
        <v>2748</v>
      </c>
      <c r="D351" s="62" t="s">
        <v>86</v>
      </c>
      <c r="E351" s="107">
        <v>116364</v>
      </c>
      <c r="F351" s="107">
        <v>116364</v>
      </c>
      <c r="G351" s="127">
        <f t="shared" si="6"/>
        <v>0</v>
      </c>
    </row>
    <row r="352" spans="1:7" s="56" customFormat="1" ht="33" customHeight="1">
      <c r="A352" s="3">
        <f>IF(E352="","",COUNTA($E352:E$356))</f>
        <v>5</v>
      </c>
      <c r="B352" s="46" t="s">
        <v>201</v>
      </c>
      <c r="C352" s="21" t="s">
        <v>1135</v>
      </c>
      <c r="D352" s="62" t="s">
        <v>85</v>
      </c>
      <c r="E352" s="107">
        <v>101818</v>
      </c>
      <c r="F352" s="107">
        <v>105455</v>
      </c>
      <c r="G352" s="127">
        <f t="shared" si="6"/>
        <v>0.03572059950107054</v>
      </c>
    </row>
    <row r="353" spans="1:7" s="56" customFormat="1" ht="33" customHeight="1">
      <c r="A353" s="3">
        <f>IF(E353="","",COUNTA($E353:E$356))</f>
        <v>4</v>
      </c>
      <c r="B353" s="46" t="s">
        <v>202</v>
      </c>
      <c r="C353" s="21" t="s">
        <v>1135</v>
      </c>
      <c r="D353" s="62" t="s">
        <v>85</v>
      </c>
      <c r="E353" s="107">
        <v>126364</v>
      </c>
      <c r="F353" s="107">
        <v>126364</v>
      </c>
      <c r="G353" s="127">
        <f t="shared" si="6"/>
        <v>0</v>
      </c>
    </row>
    <row r="354" spans="1:7" s="56" customFormat="1" ht="16.5">
      <c r="A354" s="3">
        <f>IF(E354="","",COUNTA($E354:E$356))</f>
        <v>3</v>
      </c>
      <c r="B354" s="46" t="s">
        <v>203</v>
      </c>
      <c r="C354" s="21" t="s">
        <v>1135</v>
      </c>
      <c r="D354" s="62" t="s">
        <v>83</v>
      </c>
      <c r="E354" s="107">
        <v>170909</v>
      </c>
      <c r="F354" s="107">
        <v>175455</v>
      </c>
      <c r="G354" s="127">
        <f t="shared" si="6"/>
        <v>0.026598950318590595</v>
      </c>
    </row>
    <row r="355" spans="1:7" s="56" customFormat="1" ht="16.5">
      <c r="A355" s="3">
        <f>IF(E355="","",COUNTA($E355:E$356))</f>
        <v>2</v>
      </c>
      <c r="B355" s="46" t="s">
        <v>204</v>
      </c>
      <c r="C355" s="21" t="s">
        <v>1135</v>
      </c>
      <c r="D355" s="62" t="s">
        <v>84</v>
      </c>
      <c r="E355" s="107">
        <v>191818</v>
      </c>
      <c r="F355" s="107">
        <v>201818</v>
      </c>
      <c r="G355" s="127">
        <f t="shared" si="6"/>
        <v>0.05213275083673065</v>
      </c>
    </row>
    <row r="356" spans="1:7" s="56" customFormat="1" ht="16.5">
      <c r="A356" s="3">
        <f>IF(E356="","",COUNTA($E$356:E356))</f>
        <v>1</v>
      </c>
      <c r="B356" s="46" t="s">
        <v>204</v>
      </c>
      <c r="C356" s="21" t="s">
        <v>1135</v>
      </c>
      <c r="D356" s="62" t="s">
        <v>84</v>
      </c>
      <c r="E356" s="107">
        <v>201818</v>
      </c>
      <c r="F356" s="107">
        <v>211818</v>
      </c>
      <c r="G356" s="127">
        <f t="shared" si="6"/>
        <v>0.04954959418882359</v>
      </c>
    </row>
    <row r="357" spans="1:7" s="56" customFormat="1" ht="17.25">
      <c r="A357" s="3">
        <f>IF(E357="","",COUNTA($E$356:E357))</f>
      </c>
      <c r="B357" s="35" t="s">
        <v>2789</v>
      </c>
      <c r="C357" s="108"/>
      <c r="D357" s="62"/>
      <c r="E357" s="109"/>
      <c r="F357" s="109"/>
      <c r="G357" s="127"/>
    </row>
    <row r="358" spans="1:7" s="56" customFormat="1" ht="19.5">
      <c r="A358" s="3">
        <f>IF(E358="","",COUNTA($E$356:E358))</f>
        <v>2</v>
      </c>
      <c r="B358" s="42" t="s">
        <v>2741</v>
      </c>
      <c r="C358" s="21" t="s">
        <v>178</v>
      </c>
      <c r="D358" s="62" t="s">
        <v>83</v>
      </c>
      <c r="E358" s="45">
        <v>108182</v>
      </c>
      <c r="F358" s="45">
        <v>108182</v>
      </c>
      <c r="G358" s="127">
        <f t="shared" si="6"/>
        <v>0</v>
      </c>
    </row>
    <row r="359" spans="1:7" s="56" customFormat="1" ht="19.5">
      <c r="A359" s="3">
        <f>IF(E359="","",COUNTA($E$356:E359))</f>
        <v>3</v>
      </c>
      <c r="B359" s="42" t="s">
        <v>2742</v>
      </c>
      <c r="C359" s="21" t="s">
        <v>178</v>
      </c>
      <c r="D359" s="62" t="s">
        <v>83</v>
      </c>
      <c r="E359" s="45">
        <f>116000/1.1</f>
        <v>105454.54545454544</v>
      </c>
      <c r="F359" s="45">
        <f>116000/1.1</f>
        <v>105454.54545454544</v>
      </c>
      <c r="G359" s="127">
        <f t="shared" si="6"/>
        <v>0</v>
      </c>
    </row>
    <row r="360" spans="1:7" s="56" customFormat="1" ht="19.5">
      <c r="A360" s="3">
        <f>IF(E360="","",COUNTA($E$356:E360))</f>
        <v>4</v>
      </c>
      <c r="B360" s="42" t="s">
        <v>2743</v>
      </c>
      <c r="C360" s="21" t="s">
        <v>178</v>
      </c>
      <c r="D360" s="62" t="s">
        <v>83</v>
      </c>
      <c r="E360" s="45">
        <v>147273</v>
      </c>
      <c r="F360" s="45">
        <v>147273</v>
      </c>
      <c r="G360" s="127">
        <f t="shared" si="6"/>
        <v>0</v>
      </c>
    </row>
    <row r="361" spans="1:7" s="56" customFormat="1" ht="19.5">
      <c r="A361" s="3">
        <f>IF(E361="","",COUNTA($E$356:E361))</f>
        <v>5</v>
      </c>
      <c r="B361" s="42" t="s">
        <v>2744</v>
      </c>
      <c r="C361" s="21" t="s">
        <v>178</v>
      </c>
      <c r="D361" s="62" t="s">
        <v>83</v>
      </c>
      <c r="E361" s="45">
        <v>137273</v>
      </c>
      <c r="F361" s="45">
        <v>137273</v>
      </c>
      <c r="G361" s="127">
        <f t="shared" si="6"/>
        <v>0</v>
      </c>
    </row>
    <row r="362" spans="1:7" s="56" customFormat="1" ht="16.5">
      <c r="A362" s="3">
        <f>IF(E362="","",COUNTA($E$356:E362))</f>
        <v>6</v>
      </c>
      <c r="B362" s="42" t="s">
        <v>2745</v>
      </c>
      <c r="C362" s="21" t="s">
        <v>1135</v>
      </c>
      <c r="D362" s="62" t="s">
        <v>93</v>
      </c>
      <c r="E362" s="45">
        <v>161818</v>
      </c>
      <c r="F362" s="45">
        <v>161818</v>
      </c>
      <c r="G362" s="127">
        <f t="shared" si="6"/>
        <v>0</v>
      </c>
    </row>
    <row r="363" spans="1:7" s="56" customFormat="1" ht="16.5">
      <c r="A363" s="3">
        <f>IF(E363="","",COUNTA($E$356:E363))</f>
        <v>7</v>
      </c>
      <c r="B363" s="42" t="s">
        <v>2746</v>
      </c>
      <c r="C363" s="21" t="s">
        <v>1135</v>
      </c>
      <c r="D363" s="62" t="s">
        <v>93</v>
      </c>
      <c r="E363" s="45">
        <v>135455</v>
      </c>
      <c r="F363" s="45">
        <v>135455</v>
      </c>
      <c r="G363" s="127">
        <f t="shared" si="6"/>
        <v>0</v>
      </c>
    </row>
    <row r="364" spans="1:7" s="56" customFormat="1" ht="16.5">
      <c r="A364" s="3">
        <f>IF(E364="","",COUNTA($E$356:E364))</f>
        <v>8</v>
      </c>
      <c r="B364" s="42" t="s">
        <v>2747</v>
      </c>
      <c r="C364" s="21" t="s">
        <v>2748</v>
      </c>
      <c r="D364" s="62" t="s">
        <v>95</v>
      </c>
      <c r="E364" s="45">
        <v>191818</v>
      </c>
      <c r="F364" s="45">
        <v>191818</v>
      </c>
      <c r="G364" s="127">
        <f t="shared" si="6"/>
        <v>0</v>
      </c>
    </row>
    <row r="365" spans="1:7" s="56" customFormat="1" ht="19.5">
      <c r="A365" s="3">
        <f>IF(E365="","",COUNTA($E$356:E365))</f>
        <v>9</v>
      </c>
      <c r="B365" s="42" t="s">
        <v>2749</v>
      </c>
      <c r="C365" s="21" t="s">
        <v>178</v>
      </c>
      <c r="D365" s="62" t="s">
        <v>84</v>
      </c>
      <c r="E365" s="45">
        <v>175455</v>
      </c>
      <c r="F365" s="45">
        <v>175455</v>
      </c>
      <c r="G365" s="127">
        <f t="shared" si="6"/>
        <v>0</v>
      </c>
    </row>
    <row r="366" spans="1:9" s="56" customFormat="1" ht="16.5">
      <c r="A366" s="3">
        <f>IF(E366="","",COUNTA($E$356:E366))</f>
        <v>10</v>
      </c>
      <c r="B366" s="46" t="s">
        <v>205</v>
      </c>
      <c r="C366" s="21" t="s">
        <v>2748</v>
      </c>
      <c r="D366" s="62" t="s">
        <v>88</v>
      </c>
      <c r="E366" s="6">
        <f aca="true" t="shared" si="7" ref="E366:E372">I366/1.1</f>
        <v>87272.72727272726</v>
      </c>
      <c r="F366" s="6">
        <f aca="true" t="shared" si="8" ref="F366:F372">H366/1.1</f>
        <v>0</v>
      </c>
      <c r="G366" s="127">
        <f t="shared" si="6"/>
        <v>-1</v>
      </c>
      <c r="I366" s="45">
        <v>96000</v>
      </c>
    </row>
    <row r="367" spans="1:9" s="56" customFormat="1" ht="16.5">
      <c r="A367" s="3">
        <f>IF(E367="","",COUNTA($E$356:E367))</f>
        <v>11</v>
      </c>
      <c r="B367" s="46" t="s">
        <v>206</v>
      </c>
      <c r="C367" s="21" t="s">
        <v>2748</v>
      </c>
      <c r="D367" s="62" t="s">
        <v>88</v>
      </c>
      <c r="E367" s="6">
        <f t="shared" si="7"/>
        <v>84545.45454545454</v>
      </c>
      <c r="F367" s="6">
        <f t="shared" si="8"/>
        <v>0</v>
      </c>
      <c r="G367" s="127">
        <f t="shared" si="6"/>
        <v>-1</v>
      </c>
      <c r="I367" s="45">
        <v>93000</v>
      </c>
    </row>
    <row r="368" spans="1:9" s="56" customFormat="1" ht="16.5">
      <c r="A368" s="3">
        <f>IF(E368="","",COUNTA($E$356:E368))</f>
        <v>12</v>
      </c>
      <c r="B368" s="46" t="s">
        <v>207</v>
      </c>
      <c r="C368" s="21" t="s">
        <v>2748</v>
      </c>
      <c r="D368" s="62" t="s">
        <v>88</v>
      </c>
      <c r="E368" s="6">
        <f t="shared" si="7"/>
        <v>99999.99999999999</v>
      </c>
      <c r="F368" s="6">
        <f t="shared" si="8"/>
        <v>0</v>
      </c>
      <c r="G368" s="127">
        <f t="shared" si="6"/>
        <v>-1</v>
      </c>
      <c r="I368" s="45">
        <v>110000</v>
      </c>
    </row>
    <row r="369" spans="1:9" s="56" customFormat="1" ht="19.5">
      <c r="A369" s="3">
        <f>IF(E369="","",COUNTA($E$356:E369))</f>
        <v>13</v>
      </c>
      <c r="B369" s="46" t="s">
        <v>208</v>
      </c>
      <c r="C369" s="21" t="s">
        <v>178</v>
      </c>
      <c r="D369" s="62" t="s">
        <v>83</v>
      </c>
      <c r="E369" s="6">
        <f t="shared" si="7"/>
        <v>165454.54545454544</v>
      </c>
      <c r="F369" s="6">
        <f t="shared" si="8"/>
        <v>0</v>
      </c>
      <c r="G369" s="127">
        <f t="shared" si="6"/>
        <v>-1</v>
      </c>
      <c r="I369" s="45">
        <v>182000</v>
      </c>
    </row>
    <row r="370" spans="1:9" s="56" customFormat="1" ht="16.5">
      <c r="A370" s="3">
        <f>IF(E370="","",COUNTA($E$356:E370))</f>
        <v>14</v>
      </c>
      <c r="B370" s="46" t="s">
        <v>209</v>
      </c>
      <c r="C370" s="21" t="s">
        <v>2748</v>
      </c>
      <c r="D370" s="62" t="s">
        <v>86</v>
      </c>
      <c r="E370" s="6">
        <f t="shared" si="7"/>
        <v>102727.27272727272</v>
      </c>
      <c r="F370" s="6">
        <f t="shared" si="8"/>
        <v>0</v>
      </c>
      <c r="G370" s="127">
        <f t="shared" si="6"/>
        <v>-1</v>
      </c>
      <c r="I370" s="45">
        <v>113000</v>
      </c>
    </row>
    <row r="371" spans="1:9" s="56" customFormat="1" ht="19.5">
      <c r="A371" s="3">
        <f>IF(E371="","",COUNTA($E$356:E371))</f>
        <v>15</v>
      </c>
      <c r="B371" s="46" t="s">
        <v>210</v>
      </c>
      <c r="C371" s="21" t="s">
        <v>178</v>
      </c>
      <c r="D371" s="62" t="s">
        <v>84</v>
      </c>
      <c r="E371" s="6">
        <f t="shared" si="7"/>
        <v>190909.09090909088</v>
      </c>
      <c r="F371" s="6">
        <f t="shared" si="8"/>
        <v>0</v>
      </c>
      <c r="G371" s="127">
        <f t="shared" si="6"/>
        <v>-1</v>
      </c>
      <c r="I371" s="45">
        <v>210000</v>
      </c>
    </row>
    <row r="372" spans="1:9" s="56" customFormat="1" ht="19.5">
      <c r="A372" s="3">
        <f>IF(E372="","",COUNTA($E$356:E372))</f>
        <v>16</v>
      </c>
      <c r="B372" s="46" t="s">
        <v>211</v>
      </c>
      <c r="C372" s="21" t="s">
        <v>178</v>
      </c>
      <c r="D372" s="62" t="s">
        <v>84</v>
      </c>
      <c r="E372" s="6">
        <f t="shared" si="7"/>
        <v>180909.09090909088</v>
      </c>
      <c r="F372" s="6">
        <f t="shared" si="8"/>
        <v>0</v>
      </c>
      <c r="G372" s="127">
        <f t="shared" si="6"/>
        <v>-1</v>
      </c>
      <c r="I372" s="45">
        <v>199000</v>
      </c>
    </row>
    <row r="373" spans="1:7" s="56" customFormat="1" ht="17.25">
      <c r="A373" s="3">
        <f>IF(E373="","",COUNTA($E$356:E373))</f>
      </c>
      <c r="B373" s="35" t="s">
        <v>2750</v>
      </c>
      <c r="C373" s="108"/>
      <c r="D373" s="62"/>
      <c r="E373" s="109"/>
      <c r="F373" s="109"/>
      <c r="G373" s="127"/>
    </row>
    <row r="374" spans="1:7" s="56" customFormat="1" ht="16.5">
      <c r="A374" s="3">
        <f>IF(E374="","",COUNTA($E$356:E374))</f>
        <v>17</v>
      </c>
      <c r="B374" s="42" t="s">
        <v>2751</v>
      </c>
      <c r="C374" s="21" t="s">
        <v>1135</v>
      </c>
      <c r="D374" s="62" t="s">
        <v>85</v>
      </c>
      <c r="E374" s="45">
        <v>211818</v>
      </c>
      <c r="F374" s="45">
        <v>211818</v>
      </c>
      <c r="G374" s="127">
        <f t="shared" si="6"/>
        <v>0</v>
      </c>
    </row>
    <row r="375" spans="1:7" s="56" customFormat="1" ht="16.5">
      <c r="A375" s="3">
        <f>IF(E375="","",COUNTA($E$356:E375))</f>
        <v>18</v>
      </c>
      <c r="B375" s="42" t="s">
        <v>2752</v>
      </c>
      <c r="C375" s="21" t="s">
        <v>1135</v>
      </c>
      <c r="D375" s="62" t="s">
        <v>83</v>
      </c>
      <c r="E375" s="45">
        <v>191818</v>
      </c>
      <c r="F375" s="45">
        <v>197273</v>
      </c>
      <c r="G375" s="127">
        <f t="shared" si="6"/>
        <v>0.02843841558143657</v>
      </c>
    </row>
    <row r="376" spans="1:7" s="56" customFormat="1" ht="16.5">
      <c r="A376" s="3">
        <f>IF(E376="","",COUNTA($E$356:E376))</f>
        <v>19</v>
      </c>
      <c r="B376" s="42" t="s">
        <v>2753</v>
      </c>
      <c r="C376" s="21" t="s">
        <v>1135</v>
      </c>
      <c r="D376" s="62" t="s">
        <v>83</v>
      </c>
      <c r="E376" s="45">
        <v>201818</v>
      </c>
      <c r="F376" s="45">
        <v>207273</v>
      </c>
      <c r="G376" s="127">
        <f t="shared" si="6"/>
        <v>0.02702930363000327</v>
      </c>
    </row>
    <row r="377" spans="1:7" s="56" customFormat="1" ht="33" customHeight="1">
      <c r="A377" s="3">
        <f>IF(E377="","",COUNTA($E$356:E377))</f>
        <v>20</v>
      </c>
      <c r="B377" s="42" t="s">
        <v>2754</v>
      </c>
      <c r="C377" s="21" t="s">
        <v>1135</v>
      </c>
      <c r="D377" s="62" t="s">
        <v>83</v>
      </c>
      <c r="E377" s="45">
        <v>171818</v>
      </c>
      <c r="F377" s="45">
        <v>171818</v>
      </c>
      <c r="G377" s="127">
        <f t="shared" si="6"/>
        <v>0</v>
      </c>
    </row>
    <row r="378" spans="1:7" s="56" customFormat="1" ht="33" customHeight="1">
      <c r="A378" s="3">
        <f>IF(E378="","",COUNTA($E$356:E378))</f>
        <v>21</v>
      </c>
      <c r="B378" s="42" t="s">
        <v>2755</v>
      </c>
      <c r="C378" s="21" t="s">
        <v>1135</v>
      </c>
      <c r="D378" s="62" t="s">
        <v>83</v>
      </c>
      <c r="E378" s="45">
        <v>177273</v>
      </c>
      <c r="F378" s="45">
        <v>177273</v>
      </c>
      <c r="G378" s="127">
        <f t="shared" si="6"/>
        <v>0</v>
      </c>
    </row>
    <row r="379" spans="1:9" s="56" customFormat="1" ht="16.5">
      <c r="A379" s="3">
        <f>IF(E379="","",COUNTA($E$356:E379))</f>
        <v>22</v>
      </c>
      <c r="B379" s="46" t="s">
        <v>212</v>
      </c>
      <c r="C379" s="21" t="s">
        <v>2748</v>
      </c>
      <c r="D379" s="62" t="s">
        <v>87</v>
      </c>
      <c r="E379" s="6">
        <f>I379/1.1</f>
        <v>146363.63636363635</v>
      </c>
      <c r="F379" s="6">
        <v>146346</v>
      </c>
      <c r="G379" s="127">
        <f t="shared" si="6"/>
        <v>-0.0001204968944098656</v>
      </c>
      <c r="I379" s="45">
        <v>161000</v>
      </c>
    </row>
    <row r="380" spans="1:9" s="56" customFormat="1" ht="16.5">
      <c r="A380" s="3">
        <f>IF(E380="","",COUNTA($E$356:E380))</f>
        <v>23</v>
      </c>
      <c r="B380" s="46" t="s">
        <v>213</v>
      </c>
      <c r="C380" s="21" t="s">
        <v>2748</v>
      </c>
      <c r="D380" s="62" t="s">
        <v>87</v>
      </c>
      <c r="E380" s="6">
        <f>I380/1.1</f>
        <v>149090.9090909091</v>
      </c>
      <c r="F380" s="6">
        <v>149091</v>
      </c>
      <c r="G380" s="127">
        <f t="shared" si="6"/>
        <v>6.097560975787219E-07</v>
      </c>
      <c r="I380" s="45">
        <v>164000</v>
      </c>
    </row>
    <row r="381" spans="1:9" s="56" customFormat="1" ht="16.5">
      <c r="A381" s="3">
        <f>IF(E381="","",COUNTA($E$356:E381))</f>
        <v>24</v>
      </c>
      <c r="B381" s="46" t="s">
        <v>214</v>
      </c>
      <c r="C381" s="21" t="s">
        <v>2748</v>
      </c>
      <c r="D381" s="62" t="s">
        <v>88</v>
      </c>
      <c r="E381" s="6">
        <f>I381/1.1</f>
        <v>164545.45454545453</v>
      </c>
      <c r="F381" s="6">
        <v>164545</v>
      </c>
      <c r="G381" s="127">
        <f t="shared" si="6"/>
        <v>-2.762430939130043E-06</v>
      </c>
      <c r="I381" s="45">
        <v>181000</v>
      </c>
    </row>
    <row r="382" spans="1:9" s="56" customFormat="1" ht="16.5">
      <c r="A382" s="3">
        <f>IF(E382="","",COUNTA($E$356:E382))</f>
        <v>25</v>
      </c>
      <c r="B382" s="46" t="s">
        <v>215</v>
      </c>
      <c r="C382" s="21" t="s">
        <v>1135</v>
      </c>
      <c r="D382" s="62" t="s">
        <v>85</v>
      </c>
      <c r="E382" s="6">
        <f>I382/1.1</f>
        <v>166363.63636363635</v>
      </c>
      <c r="F382" s="6">
        <v>166364</v>
      </c>
      <c r="G382" s="127">
        <f t="shared" si="6"/>
        <v>2.185792349790391E-06</v>
      </c>
      <c r="I382" s="45">
        <v>183000</v>
      </c>
    </row>
    <row r="383" spans="1:9" s="56" customFormat="1" ht="17.25">
      <c r="A383" s="3">
        <f>IF(E383="","",COUNTA($E$356:E383))</f>
      </c>
      <c r="B383" s="47" t="s">
        <v>216</v>
      </c>
      <c r="C383" s="20"/>
      <c r="D383" s="62"/>
      <c r="E383" s="6"/>
      <c r="F383" s="6"/>
      <c r="G383" s="127"/>
      <c r="I383" s="110"/>
    </row>
    <row r="384" spans="1:9" s="56" customFormat="1" ht="33" customHeight="1">
      <c r="A384" s="3">
        <f>IF(E384="","",COUNTA($E$356:E384))</f>
        <v>26</v>
      </c>
      <c r="B384" s="46" t="s">
        <v>217</v>
      </c>
      <c r="C384" s="21" t="s">
        <v>1135</v>
      </c>
      <c r="D384" s="62" t="s">
        <v>84</v>
      </c>
      <c r="E384" s="6">
        <f aca="true" t="shared" si="9" ref="E384:E389">I384/1.1</f>
        <v>257272.72727272726</v>
      </c>
      <c r="F384" s="6">
        <v>267273</v>
      </c>
      <c r="G384" s="127">
        <f t="shared" si="6"/>
        <v>0.038870318021201444</v>
      </c>
      <c r="I384" s="45">
        <v>283000</v>
      </c>
    </row>
    <row r="385" spans="1:9" s="56" customFormat="1" ht="33" customHeight="1">
      <c r="A385" s="3">
        <f>IF(E385="","",COUNTA($E$356:E385))</f>
        <v>27</v>
      </c>
      <c r="B385" s="46" t="s">
        <v>218</v>
      </c>
      <c r="C385" s="21" t="s">
        <v>1135</v>
      </c>
      <c r="D385" s="62" t="s">
        <v>84</v>
      </c>
      <c r="E385" s="6">
        <f t="shared" si="9"/>
        <v>207272.72727272726</v>
      </c>
      <c r="F385" s="6">
        <v>221818</v>
      </c>
      <c r="G385" s="127">
        <f t="shared" si="6"/>
        <v>0.0701745614035088</v>
      </c>
      <c r="I385" s="45">
        <v>228000</v>
      </c>
    </row>
    <row r="386" spans="1:9" s="56" customFormat="1" ht="33" customHeight="1">
      <c r="A386" s="3">
        <f>IF(E386="","",COUNTA($E$356:E386))</f>
        <v>28</v>
      </c>
      <c r="B386" s="46" t="s">
        <v>219</v>
      </c>
      <c r="C386" s="21" t="s">
        <v>1135</v>
      </c>
      <c r="D386" s="62" t="s">
        <v>83</v>
      </c>
      <c r="E386" s="6">
        <f t="shared" si="9"/>
        <v>241818.1818181818</v>
      </c>
      <c r="F386" s="6">
        <v>245455</v>
      </c>
      <c r="G386" s="127">
        <f t="shared" si="6"/>
        <v>0.015039473684210627</v>
      </c>
      <c r="I386" s="45">
        <v>266000</v>
      </c>
    </row>
    <row r="387" spans="1:9" s="56" customFormat="1" ht="33" customHeight="1">
      <c r="A387" s="3">
        <f>IF(E387="","",COUNTA($E$356:E387))</f>
        <v>29</v>
      </c>
      <c r="B387" s="46" t="s">
        <v>220</v>
      </c>
      <c r="C387" s="21" t="s">
        <v>1135</v>
      </c>
      <c r="D387" s="62" t="s">
        <v>83</v>
      </c>
      <c r="E387" s="6">
        <f t="shared" si="9"/>
        <v>187272.72727272726</v>
      </c>
      <c r="F387" s="6">
        <v>197273</v>
      </c>
      <c r="G387" s="127">
        <f t="shared" si="6"/>
        <v>0.05339951456310684</v>
      </c>
      <c r="I387" s="45">
        <v>206000</v>
      </c>
    </row>
    <row r="388" spans="1:9" s="56" customFormat="1" ht="16.5">
      <c r="A388" s="3">
        <f>IF(E388="","",COUNTA($E$356:E388))</f>
        <v>30</v>
      </c>
      <c r="B388" s="46" t="s">
        <v>221</v>
      </c>
      <c r="C388" s="21" t="s">
        <v>1135</v>
      </c>
      <c r="D388" s="62" t="s">
        <v>84</v>
      </c>
      <c r="E388" s="6">
        <f t="shared" si="9"/>
        <v>207272.72727272726</v>
      </c>
      <c r="F388" s="6">
        <v>217273</v>
      </c>
      <c r="G388" s="127">
        <f t="shared" si="6"/>
        <v>0.04824692982456144</v>
      </c>
      <c r="I388" s="45">
        <v>228000</v>
      </c>
    </row>
    <row r="389" spans="1:9" s="56" customFormat="1" ht="16.5">
      <c r="A389" s="3">
        <f>IF(E389="","",COUNTA($E$356:E389))</f>
        <v>31</v>
      </c>
      <c r="B389" s="46" t="s">
        <v>222</v>
      </c>
      <c r="C389" s="21" t="s">
        <v>1135</v>
      </c>
      <c r="D389" s="62" t="s">
        <v>83</v>
      </c>
      <c r="E389" s="6">
        <f t="shared" si="9"/>
        <v>171818.1818181818</v>
      </c>
      <c r="F389" s="6">
        <v>176364</v>
      </c>
      <c r="G389" s="127">
        <f t="shared" si="6"/>
        <v>0.026457142857143</v>
      </c>
      <c r="I389" s="45">
        <v>189000</v>
      </c>
    </row>
    <row r="390" spans="1:9" s="56" customFormat="1" ht="17.25">
      <c r="A390" s="3">
        <f>IF(E390="","",COUNTA($E$356:E390))</f>
      </c>
      <c r="B390" s="61" t="s">
        <v>223</v>
      </c>
      <c r="C390" s="20"/>
      <c r="D390" s="62"/>
      <c r="E390" s="6"/>
      <c r="F390" s="6"/>
      <c r="G390" s="127"/>
      <c r="I390" s="111"/>
    </row>
    <row r="391" spans="1:9" s="56" customFormat="1" ht="16.5">
      <c r="A391" s="3">
        <f>IF(E391="","",COUNTA($E$356:E391))</f>
        <v>32</v>
      </c>
      <c r="B391" s="46" t="s">
        <v>224</v>
      </c>
      <c r="C391" s="21" t="s">
        <v>1135</v>
      </c>
      <c r="D391" s="62" t="s">
        <v>85</v>
      </c>
      <c r="E391" s="6">
        <f aca="true" t="shared" si="10" ref="E391:E398">I391/1.1</f>
        <v>103636.36363636363</v>
      </c>
      <c r="F391" s="6">
        <v>108182</v>
      </c>
      <c r="G391" s="127">
        <f aca="true" t="shared" si="11" ref="G391:G414">(F391-E391)/E391</f>
        <v>0.04386140350877197</v>
      </c>
      <c r="I391" s="45">
        <v>114000</v>
      </c>
    </row>
    <row r="392" spans="1:9" s="56" customFormat="1" ht="16.5">
      <c r="A392" s="3">
        <f>IF(E392="","",COUNTA($E$356:E392))</f>
        <v>33</v>
      </c>
      <c r="B392" s="46" t="s">
        <v>225</v>
      </c>
      <c r="C392" s="21" t="s">
        <v>1135</v>
      </c>
      <c r="D392" s="62" t="s">
        <v>83</v>
      </c>
      <c r="E392" s="6">
        <f t="shared" si="10"/>
        <v>139090.9090909091</v>
      </c>
      <c r="F392" s="6">
        <v>152727</v>
      </c>
      <c r="G392" s="127">
        <f t="shared" si="11"/>
        <v>0.0980372549019608</v>
      </c>
      <c r="I392" s="45">
        <v>153000</v>
      </c>
    </row>
    <row r="393" spans="1:9" s="56" customFormat="1" ht="16.5">
      <c r="A393" s="3">
        <f>IF(E393="","",COUNTA($E$356:E393))</f>
        <v>34</v>
      </c>
      <c r="B393" s="46" t="s">
        <v>226</v>
      </c>
      <c r="C393" s="21" t="s">
        <v>1135</v>
      </c>
      <c r="D393" s="62" t="s">
        <v>83</v>
      </c>
      <c r="E393" s="6">
        <f t="shared" si="10"/>
        <v>144545.45454545453</v>
      </c>
      <c r="F393" s="6">
        <v>154545</v>
      </c>
      <c r="G393" s="127">
        <f t="shared" si="11"/>
        <v>0.06917924528301898</v>
      </c>
      <c r="I393" s="45">
        <v>159000</v>
      </c>
    </row>
    <row r="394" spans="1:9" s="56" customFormat="1" ht="16.5">
      <c r="A394" s="3">
        <f>IF(E394="","",COUNTA($E$356:E394))</f>
        <v>35</v>
      </c>
      <c r="B394" s="46" t="s">
        <v>227</v>
      </c>
      <c r="C394" s="21" t="s">
        <v>1116</v>
      </c>
      <c r="D394" s="62" t="s">
        <v>83</v>
      </c>
      <c r="E394" s="6">
        <f t="shared" si="10"/>
        <v>72727.27272727272</v>
      </c>
      <c r="F394" s="6">
        <v>75455</v>
      </c>
      <c r="G394" s="127">
        <f t="shared" si="11"/>
        <v>0.037506250000000095</v>
      </c>
      <c r="I394" s="45">
        <v>80000</v>
      </c>
    </row>
    <row r="395" spans="1:9" s="56" customFormat="1" ht="16.5">
      <c r="A395" s="3">
        <f>IF(E395="","",COUNTA($E$356:E395))</f>
        <v>36</v>
      </c>
      <c r="B395" s="46" t="s">
        <v>228</v>
      </c>
      <c r="C395" s="21" t="s">
        <v>1135</v>
      </c>
      <c r="D395" s="62" t="s">
        <v>83</v>
      </c>
      <c r="E395" s="6">
        <f t="shared" si="10"/>
        <v>184545.45454545453</v>
      </c>
      <c r="F395" s="6">
        <v>191818</v>
      </c>
      <c r="G395" s="127">
        <f t="shared" si="11"/>
        <v>0.03940788177339911</v>
      </c>
      <c r="I395" s="45">
        <v>203000</v>
      </c>
    </row>
    <row r="396" spans="1:9" s="56" customFormat="1" ht="16.5">
      <c r="A396" s="3">
        <f>IF(E396="","",COUNTA($E$356:E396))</f>
        <v>37</v>
      </c>
      <c r="B396" s="46" t="s">
        <v>229</v>
      </c>
      <c r="C396" s="21" t="s">
        <v>1135</v>
      </c>
      <c r="D396" s="62" t="s">
        <v>84</v>
      </c>
      <c r="E396" s="6">
        <f t="shared" si="10"/>
        <v>186363.63636363635</v>
      </c>
      <c r="F396" s="6">
        <v>193636</v>
      </c>
      <c r="G396" s="127">
        <f t="shared" si="11"/>
        <v>0.0390224390243903</v>
      </c>
      <c r="I396" s="45">
        <v>205000</v>
      </c>
    </row>
    <row r="397" spans="1:9" s="56" customFormat="1" ht="16.5">
      <c r="A397" s="3">
        <f>IF(E397="","",COUNTA($E$356:E397))</f>
        <v>38</v>
      </c>
      <c r="B397" s="46" t="s">
        <v>230</v>
      </c>
      <c r="C397" s="21" t="s">
        <v>1135</v>
      </c>
      <c r="D397" s="62" t="s">
        <v>84</v>
      </c>
      <c r="E397" s="6">
        <f t="shared" si="10"/>
        <v>191818.1818181818</v>
      </c>
      <c r="F397" s="6">
        <v>199091</v>
      </c>
      <c r="G397" s="127">
        <f t="shared" si="11"/>
        <v>0.03791516587677738</v>
      </c>
      <c r="I397" s="45">
        <v>211000</v>
      </c>
    </row>
    <row r="398" spans="1:9" s="56" customFormat="1" ht="16.5">
      <c r="A398" s="3">
        <f>IF(E398="","",COUNTA($E$356:E398))</f>
        <v>39</v>
      </c>
      <c r="B398" s="46" t="s">
        <v>231</v>
      </c>
      <c r="C398" s="21" t="s">
        <v>1135</v>
      </c>
      <c r="D398" s="62" t="s">
        <v>84</v>
      </c>
      <c r="E398" s="6">
        <f t="shared" si="10"/>
        <v>259090.90909090906</v>
      </c>
      <c r="F398" s="6">
        <v>263636</v>
      </c>
      <c r="G398" s="127">
        <f t="shared" si="11"/>
        <v>0.017542456140351003</v>
      </c>
      <c r="I398" s="45">
        <v>285000</v>
      </c>
    </row>
    <row r="399" spans="1:9" s="56" customFormat="1" ht="17.25">
      <c r="A399" s="3">
        <f>IF(E399="","",COUNTA($E$356:E399))</f>
      </c>
      <c r="B399" s="47" t="s">
        <v>232</v>
      </c>
      <c r="C399" s="20"/>
      <c r="D399" s="62"/>
      <c r="E399" s="6"/>
      <c r="F399" s="6"/>
      <c r="G399" s="127"/>
      <c r="I399" s="110"/>
    </row>
    <row r="400" spans="1:9" s="56" customFormat="1" ht="16.5">
      <c r="A400" s="3">
        <f>IF(E400="","",COUNTA($E$356:E400))</f>
        <v>40</v>
      </c>
      <c r="B400" s="46" t="s">
        <v>233</v>
      </c>
      <c r="C400" s="21" t="s">
        <v>2748</v>
      </c>
      <c r="D400" s="62" t="s">
        <v>86</v>
      </c>
      <c r="E400" s="6">
        <f aca="true" t="shared" si="12" ref="E400:E414">I400/1.1</f>
        <v>63636.36363636363</v>
      </c>
      <c r="F400" s="6">
        <v>66364</v>
      </c>
      <c r="G400" s="127">
        <f t="shared" si="11"/>
        <v>0.04286285714285721</v>
      </c>
      <c r="I400" s="45">
        <v>70000</v>
      </c>
    </row>
    <row r="401" spans="1:9" s="56" customFormat="1" ht="16.5">
      <c r="A401" s="3">
        <f>IF(E401="","",COUNTA($E$356:E401))</f>
        <v>41</v>
      </c>
      <c r="B401" s="46" t="s">
        <v>234</v>
      </c>
      <c r="C401" s="21" t="s">
        <v>2748</v>
      </c>
      <c r="D401" s="62" t="s">
        <v>86</v>
      </c>
      <c r="E401" s="6">
        <f t="shared" si="12"/>
        <v>111818.18181818181</v>
      </c>
      <c r="F401" s="6">
        <v>111818</v>
      </c>
      <c r="G401" s="127">
        <f t="shared" si="11"/>
        <v>-1.626016260079786E-06</v>
      </c>
      <c r="I401" s="45">
        <v>123000</v>
      </c>
    </row>
    <row r="402" spans="1:9" s="56" customFormat="1" ht="33" customHeight="1">
      <c r="A402" s="3">
        <f>IF(E402="","",COUNTA($E$356:E402))</f>
        <v>42</v>
      </c>
      <c r="B402" s="46" t="s">
        <v>235</v>
      </c>
      <c r="C402" s="21" t="s">
        <v>2748</v>
      </c>
      <c r="D402" s="62" t="s">
        <v>86</v>
      </c>
      <c r="E402" s="6">
        <f t="shared" si="12"/>
        <v>120909.0909090909</v>
      </c>
      <c r="F402" s="6">
        <v>120909</v>
      </c>
      <c r="G402" s="127">
        <f t="shared" si="11"/>
        <v>-7.518796991496488E-07</v>
      </c>
      <c r="I402" s="45">
        <v>133000</v>
      </c>
    </row>
    <row r="403" spans="1:9" s="56" customFormat="1" ht="16.5">
      <c r="A403" s="3">
        <f>IF(E403="","",COUNTA($E$356:E403))</f>
        <v>43</v>
      </c>
      <c r="B403" s="46" t="s">
        <v>236</v>
      </c>
      <c r="C403" s="21" t="s">
        <v>2748</v>
      </c>
      <c r="D403" s="62" t="s">
        <v>87</v>
      </c>
      <c r="E403" s="6">
        <f t="shared" si="12"/>
        <v>69090.90909090909</v>
      </c>
      <c r="F403" s="6">
        <v>68182</v>
      </c>
      <c r="G403" s="127">
        <f t="shared" si="11"/>
        <v>-0.0131552631578947</v>
      </c>
      <c r="I403" s="45">
        <v>76000</v>
      </c>
    </row>
    <row r="404" spans="1:9" s="56" customFormat="1" ht="16.5">
      <c r="A404" s="3">
        <f>IF(E404="","",COUNTA($E$356:E404))</f>
        <v>44</v>
      </c>
      <c r="B404" s="46" t="s">
        <v>237</v>
      </c>
      <c r="C404" s="21" t="s">
        <v>2748</v>
      </c>
      <c r="D404" s="62" t="s">
        <v>88</v>
      </c>
      <c r="E404" s="6">
        <f t="shared" si="12"/>
        <v>80000</v>
      </c>
      <c r="F404" s="6">
        <v>80000</v>
      </c>
      <c r="G404" s="127">
        <f t="shared" si="11"/>
        <v>0</v>
      </c>
      <c r="I404" s="45">
        <v>88000</v>
      </c>
    </row>
    <row r="405" spans="1:9" s="56" customFormat="1" ht="16.5">
      <c r="A405" s="3">
        <f>IF(E405="","",COUNTA($E$356:E405))</f>
        <v>45</v>
      </c>
      <c r="B405" s="46" t="s">
        <v>238</v>
      </c>
      <c r="C405" s="21" t="s">
        <v>2748</v>
      </c>
      <c r="D405" s="62" t="s">
        <v>239</v>
      </c>
      <c r="E405" s="6">
        <f t="shared" si="12"/>
        <v>73636.36363636363</v>
      </c>
      <c r="F405" s="6">
        <v>76364</v>
      </c>
      <c r="G405" s="127">
        <f t="shared" si="11"/>
        <v>0.03704197530864203</v>
      </c>
      <c r="I405" s="45">
        <v>81000</v>
      </c>
    </row>
    <row r="406" spans="1:9" s="56" customFormat="1" ht="16.5">
      <c r="A406" s="3">
        <f>IF(E406="","",COUNTA($E$356:E406))</f>
        <v>46</v>
      </c>
      <c r="B406" s="46" t="s">
        <v>240</v>
      </c>
      <c r="C406" s="21" t="s">
        <v>2748</v>
      </c>
      <c r="D406" s="62" t="s">
        <v>239</v>
      </c>
      <c r="E406" s="6">
        <f t="shared" si="12"/>
        <v>104545.45454545454</v>
      </c>
      <c r="F406" s="6">
        <v>109091</v>
      </c>
      <c r="G406" s="127">
        <f t="shared" si="11"/>
        <v>0.043479130434782624</v>
      </c>
      <c r="I406" s="45">
        <v>115000</v>
      </c>
    </row>
    <row r="407" spans="1:9" s="56" customFormat="1" ht="33" customHeight="1">
      <c r="A407" s="3">
        <f>IF(E407="","",COUNTA($E$356:E407))</f>
        <v>47</v>
      </c>
      <c r="B407" s="46" t="s">
        <v>241</v>
      </c>
      <c r="C407" s="21" t="s">
        <v>2748</v>
      </c>
      <c r="D407" s="62" t="s">
        <v>239</v>
      </c>
      <c r="E407" s="6">
        <f t="shared" si="12"/>
        <v>118181.81818181818</v>
      </c>
      <c r="F407" s="6">
        <v>118182</v>
      </c>
      <c r="G407" s="127">
        <f t="shared" si="11"/>
        <v>1.5384615385063137E-06</v>
      </c>
      <c r="I407" s="45">
        <v>130000</v>
      </c>
    </row>
    <row r="408" spans="1:9" s="56" customFormat="1" ht="16.5">
      <c r="A408" s="3">
        <f>IF(E408="","",COUNTA($E$356:E408))</f>
        <v>48</v>
      </c>
      <c r="B408" s="46" t="s">
        <v>242</v>
      </c>
      <c r="C408" s="21" t="s">
        <v>1116</v>
      </c>
      <c r="D408" s="62" t="s">
        <v>243</v>
      </c>
      <c r="E408" s="6">
        <f t="shared" si="12"/>
        <v>43636.36363636363</v>
      </c>
      <c r="F408" s="6">
        <v>43636</v>
      </c>
      <c r="G408" s="127">
        <f t="shared" si="11"/>
        <v>-8.333333333242384E-06</v>
      </c>
      <c r="I408" s="45">
        <v>48000</v>
      </c>
    </row>
    <row r="409" spans="1:9" s="56" customFormat="1" ht="16.5">
      <c r="A409" s="3">
        <f>IF(E409="","",COUNTA($E$356:E409))</f>
        <v>49</v>
      </c>
      <c r="B409" s="46" t="s">
        <v>244</v>
      </c>
      <c r="C409" s="21" t="s">
        <v>1116</v>
      </c>
      <c r="D409" s="62" t="s">
        <v>245</v>
      </c>
      <c r="E409" s="6">
        <f t="shared" si="12"/>
        <v>31818.181818181816</v>
      </c>
      <c r="F409" s="6">
        <v>31818</v>
      </c>
      <c r="G409" s="127">
        <f t="shared" si="11"/>
        <v>-5.714285714223349E-06</v>
      </c>
      <c r="I409" s="45">
        <v>35000</v>
      </c>
    </row>
    <row r="410" spans="1:9" s="56" customFormat="1" ht="16.5">
      <c r="A410" s="3">
        <f>IF(E410="","",COUNTA($E$356:E410))</f>
        <v>50</v>
      </c>
      <c r="B410" s="46" t="s">
        <v>246</v>
      </c>
      <c r="C410" s="21" t="s">
        <v>2748</v>
      </c>
      <c r="D410" s="62" t="s">
        <v>87</v>
      </c>
      <c r="E410" s="6">
        <f t="shared" si="12"/>
        <v>77272.72727272726</v>
      </c>
      <c r="F410" s="6">
        <v>77273</v>
      </c>
      <c r="G410" s="127">
        <f t="shared" si="11"/>
        <v>3.529411764808602E-06</v>
      </c>
      <c r="I410" s="45">
        <v>85000</v>
      </c>
    </row>
    <row r="411" spans="1:9" s="56" customFormat="1" ht="33" customHeight="1">
      <c r="A411" s="3">
        <f>IF(E411="","",COUNTA($E$356:E411))</f>
        <v>51</v>
      </c>
      <c r="B411" s="46" t="s">
        <v>247</v>
      </c>
      <c r="C411" s="21" t="s">
        <v>2748</v>
      </c>
      <c r="D411" s="62" t="s">
        <v>87</v>
      </c>
      <c r="E411" s="6">
        <f t="shared" si="12"/>
        <v>102727.27272727272</v>
      </c>
      <c r="F411" s="6">
        <v>106364</v>
      </c>
      <c r="G411" s="127">
        <f t="shared" si="11"/>
        <v>0.03540176991150449</v>
      </c>
      <c r="I411" s="45">
        <v>113000</v>
      </c>
    </row>
    <row r="412" spans="1:9" s="56" customFormat="1" ht="16.5">
      <c r="A412" s="3">
        <f>IF(E412="","",COUNTA($E$356:E412))</f>
        <v>52</v>
      </c>
      <c r="B412" s="46" t="s">
        <v>248</v>
      </c>
      <c r="C412" s="21" t="s">
        <v>2748</v>
      </c>
      <c r="D412" s="62" t="s">
        <v>88</v>
      </c>
      <c r="E412" s="6">
        <f t="shared" si="12"/>
        <v>90909.0909090909</v>
      </c>
      <c r="F412" s="6">
        <v>94545</v>
      </c>
      <c r="G412" s="127">
        <f t="shared" si="11"/>
        <v>0.039995000000000135</v>
      </c>
      <c r="I412" s="45">
        <v>100000</v>
      </c>
    </row>
    <row r="413" spans="1:9" s="56" customFormat="1" ht="16.5">
      <c r="A413" s="3">
        <f>IF(E413="","",COUNTA($E$356:E413))</f>
        <v>53</v>
      </c>
      <c r="B413" s="46" t="s">
        <v>249</v>
      </c>
      <c r="C413" s="21" t="s">
        <v>2748</v>
      </c>
      <c r="D413" s="62" t="s">
        <v>239</v>
      </c>
      <c r="E413" s="6">
        <f t="shared" si="12"/>
        <v>95454.54545454544</v>
      </c>
      <c r="F413" s="6">
        <v>95455</v>
      </c>
      <c r="G413" s="127">
        <f t="shared" si="11"/>
        <v>4.761904762043352E-06</v>
      </c>
      <c r="I413" s="45">
        <v>105000</v>
      </c>
    </row>
    <row r="414" spans="1:9" s="56" customFormat="1" ht="33" customHeight="1">
      <c r="A414" s="3">
        <f>IF(E414="","",COUNTA($E$356:E414))</f>
        <v>54</v>
      </c>
      <c r="B414" s="46" t="s">
        <v>250</v>
      </c>
      <c r="C414" s="21" t="s">
        <v>2748</v>
      </c>
      <c r="D414" s="62" t="s">
        <v>239</v>
      </c>
      <c r="E414" s="6">
        <f t="shared" si="12"/>
        <v>104545.45454545454</v>
      </c>
      <c r="F414" s="6">
        <v>109091</v>
      </c>
      <c r="G414" s="127">
        <f t="shared" si="11"/>
        <v>0.043479130434782624</v>
      </c>
      <c r="I414" s="45">
        <v>115000</v>
      </c>
    </row>
    <row r="415" spans="1:6" s="56" customFormat="1" ht="17.25" customHeight="1">
      <c r="A415" s="3">
        <f>IF(E415="","",COUNTA($E415:E$600))</f>
      </c>
      <c r="B415" s="35" t="s">
        <v>2785</v>
      </c>
      <c r="C415" s="108"/>
      <c r="D415" s="62"/>
      <c r="E415" s="109"/>
      <c r="F415" s="109"/>
    </row>
    <row r="416" spans="1:7" s="56" customFormat="1" ht="16.5">
      <c r="A416" s="3">
        <f>IF(E416="","",COUNTA($E416:E$600))</f>
        <v>57</v>
      </c>
      <c r="B416" s="22" t="s">
        <v>2756</v>
      </c>
      <c r="C416" s="21" t="s">
        <v>984</v>
      </c>
      <c r="D416" s="62" t="s">
        <v>97</v>
      </c>
      <c r="E416" s="107">
        <v>9364</v>
      </c>
      <c r="F416" s="107">
        <v>9909</v>
      </c>
      <c r="G416" s="127">
        <f aca="true" t="shared" si="13" ref="G416:G479">(F416-E416)/E416</f>
        <v>0.05820162323793251</v>
      </c>
    </row>
    <row r="417" spans="1:7" s="56" customFormat="1" ht="16.5">
      <c r="A417" s="3">
        <f>IF(E417="","",COUNTA($E417:E$600))</f>
        <v>56</v>
      </c>
      <c r="B417" s="22" t="s">
        <v>2757</v>
      </c>
      <c r="C417" s="21" t="s">
        <v>984</v>
      </c>
      <c r="D417" s="62" t="s">
        <v>98</v>
      </c>
      <c r="E417" s="107">
        <v>12727</v>
      </c>
      <c r="F417" s="107">
        <v>14091</v>
      </c>
      <c r="G417" s="127">
        <f t="shared" si="13"/>
        <v>0.10717372515125324</v>
      </c>
    </row>
    <row r="418" spans="1:7" s="56" customFormat="1" ht="16.5">
      <c r="A418" s="3">
        <f>IF(E418="","",COUNTA($E418:E$600))</f>
        <v>55</v>
      </c>
      <c r="B418" s="22" t="s">
        <v>2758</v>
      </c>
      <c r="C418" s="21" t="s">
        <v>984</v>
      </c>
      <c r="D418" s="62" t="s">
        <v>99</v>
      </c>
      <c r="E418" s="107">
        <v>20000</v>
      </c>
      <c r="F418" s="107">
        <v>20000</v>
      </c>
      <c r="G418" s="127">
        <f t="shared" si="13"/>
        <v>0</v>
      </c>
    </row>
    <row r="419" spans="1:7" s="56" customFormat="1" ht="16.5">
      <c r="A419" s="3">
        <f>IF(E419="","",COUNTA($E419:E$600))</f>
        <v>54</v>
      </c>
      <c r="B419" s="22" t="s">
        <v>2759</v>
      </c>
      <c r="C419" s="21" t="s">
        <v>984</v>
      </c>
      <c r="D419" s="62" t="s">
        <v>100</v>
      </c>
      <c r="E419" s="107">
        <v>14545</v>
      </c>
      <c r="F419" s="107">
        <v>14545</v>
      </c>
      <c r="G419" s="127">
        <f t="shared" si="13"/>
        <v>0</v>
      </c>
    </row>
    <row r="420" spans="1:7" s="56" customFormat="1" ht="16.5">
      <c r="A420" s="3">
        <f>IF(E420="","",COUNTA($E420:E$600))</f>
        <v>53</v>
      </c>
      <c r="B420" s="22" t="s">
        <v>2760</v>
      </c>
      <c r="C420" s="21" t="s">
        <v>984</v>
      </c>
      <c r="D420" s="62" t="s">
        <v>101</v>
      </c>
      <c r="E420" s="107">
        <v>11818</v>
      </c>
      <c r="F420" s="107">
        <v>11818</v>
      </c>
      <c r="G420" s="127">
        <f t="shared" si="13"/>
        <v>0</v>
      </c>
    </row>
    <row r="421" spans="1:7" s="56" customFormat="1" ht="16.5">
      <c r="A421" s="3">
        <f>IF(E421="","",COUNTA($E421:E$600))</f>
        <v>52</v>
      </c>
      <c r="B421" s="22" t="s">
        <v>2761</v>
      </c>
      <c r="C421" s="21" t="s">
        <v>984</v>
      </c>
      <c r="D421" s="62" t="s">
        <v>102</v>
      </c>
      <c r="E421" s="107">
        <v>3636</v>
      </c>
      <c r="F421" s="107">
        <v>4000</v>
      </c>
      <c r="G421" s="127">
        <f t="shared" si="13"/>
        <v>0.1001100110011001</v>
      </c>
    </row>
    <row r="422" spans="1:7" s="56" customFormat="1" ht="16.5">
      <c r="A422" s="3">
        <f>IF(E422="","",COUNTA($E422:E$600))</f>
        <v>51</v>
      </c>
      <c r="B422" s="22" t="s">
        <v>2762</v>
      </c>
      <c r="C422" s="21" t="s">
        <v>984</v>
      </c>
      <c r="D422" s="62" t="s">
        <v>103</v>
      </c>
      <c r="E422" s="107">
        <v>9545</v>
      </c>
      <c r="F422" s="107">
        <v>10636</v>
      </c>
      <c r="G422" s="127">
        <f t="shared" si="13"/>
        <v>0.1143006809848088</v>
      </c>
    </row>
    <row r="423" spans="1:7" s="56" customFormat="1" ht="17.25" customHeight="1">
      <c r="A423" s="3">
        <f>IF(E423="","",COUNTA($E423:E$600))</f>
      </c>
      <c r="B423" s="112" t="s">
        <v>251</v>
      </c>
      <c r="C423" s="20"/>
      <c r="D423" s="62"/>
      <c r="E423" s="107"/>
      <c r="F423" s="107"/>
      <c r="G423" s="127"/>
    </row>
    <row r="424" spans="1:7" s="56" customFormat="1" ht="33" customHeight="1">
      <c r="A424" s="3">
        <f>IF(E424="","",COUNTA($E424:E$600))</f>
        <v>50</v>
      </c>
      <c r="B424" s="46" t="s">
        <v>252</v>
      </c>
      <c r="C424" s="21" t="s">
        <v>984</v>
      </c>
      <c r="D424" s="62"/>
      <c r="E424" s="107">
        <v>17273</v>
      </c>
      <c r="F424" s="107">
        <v>17273</v>
      </c>
      <c r="G424" s="127">
        <f t="shared" si="13"/>
        <v>0</v>
      </c>
    </row>
    <row r="425" spans="1:7" s="56" customFormat="1" ht="33" customHeight="1">
      <c r="A425" s="3">
        <f>IF(E425="","",COUNTA($E425:E$600))</f>
        <v>49</v>
      </c>
      <c r="B425" s="46" t="s">
        <v>253</v>
      </c>
      <c r="C425" s="21" t="s">
        <v>984</v>
      </c>
      <c r="D425" s="62"/>
      <c r="E425" s="107">
        <v>18636</v>
      </c>
      <c r="F425" s="107">
        <v>18636</v>
      </c>
      <c r="G425" s="127">
        <f t="shared" si="13"/>
        <v>0</v>
      </c>
    </row>
    <row r="426" spans="1:7" s="56" customFormat="1" ht="16.5">
      <c r="A426" s="3">
        <f>IF(E426="","",COUNTA($E426:E$600))</f>
        <v>48</v>
      </c>
      <c r="B426" s="46" t="s">
        <v>254</v>
      </c>
      <c r="C426" s="21" t="s">
        <v>984</v>
      </c>
      <c r="D426" s="62"/>
      <c r="E426" s="107">
        <v>35455</v>
      </c>
      <c r="F426" s="107">
        <v>35455</v>
      </c>
      <c r="G426" s="127">
        <f t="shared" si="13"/>
        <v>0</v>
      </c>
    </row>
    <row r="427" spans="1:7" s="56" customFormat="1" ht="16.5">
      <c r="A427" s="3">
        <f>IF(E427="","",COUNTA($E427:E$600))</f>
        <v>47</v>
      </c>
      <c r="B427" s="46" t="s">
        <v>255</v>
      </c>
      <c r="C427" s="21" t="s">
        <v>984</v>
      </c>
      <c r="D427" s="62"/>
      <c r="E427" s="107">
        <v>38182</v>
      </c>
      <c r="F427" s="107">
        <v>38182</v>
      </c>
      <c r="G427" s="127">
        <f t="shared" si="13"/>
        <v>0</v>
      </c>
    </row>
    <row r="428" spans="1:7" s="56" customFormat="1" ht="17.25">
      <c r="A428" s="3">
        <f>IF(E428="","",COUNTA($E428:E$600))</f>
      </c>
      <c r="B428" s="112" t="s">
        <v>256</v>
      </c>
      <c r="C428" s="20"/>
      <c r="D428" s="62"/>
      <c r="E428" s="107"/>
      <c r="F428" s="107"/>
      <c r="G428" s="127"/>
    </row>
    <row r="429" spans="1:7" s="56" customFormat="1" ht="16.5">
      <c r="A429" s="3">
        <f>IF(E429="","",COUNTA($E429:E$600))</f>
        <v>46</v>
      </c>
      <c r="B429" s="49" t="s">
        <v>257</v>
      </c>
      <c r="C429" s="21" t="s">
        <v>984</v>
      </c>
      <c r="D429" s="62"/>
      <c r="E429" s="6">
        <v>22500</v>
      </c>
      <c r="F429" s="6">
        <v>22800</v>
      </c>
      <c r="G429" s="127">
        <f t="shared" si="13"/>
        <v>0.013333333333333334</v>
      </c>
    </row>
    <row r="430" spans="1:7" s="56" customFormat="1" ht="16.5">
      <c r="A430" s="3">
        <f>IF(E430="","",COUNTA($E430:E$600))</f>
        <v>45</v>
      </c>
      <c r="B430" s="49" t="s">
        <v>258</v>
      </c>
      <c r="C430" s="21" t="s">
        <v>984</v>
      </c>
      <c r="D430" s="62"/>
      <c r="E430" s="6">
        <v>41000</v>
      </c>
      <c r="F430" s="6">
        <v>43000</v>
      </c>
      <c r="G430" s="127">
        <f t="shared" si="13"/>
        <v>0.04878048780487805</v>
      </c>
    </row>
    <row r="431" spans="1:7" s="56" customFormat="1" ht="16.5">
      <c r="A431" s="3">
        <f>IF(E431="","",COUNTA($E431:E$600))</f>
        <v>44</v>
      </c>
      <c r="B431" s="49" t="s">
        <v>259</v>
      </c>
      <c r="C431" s="21" t="s">
        <v>984</v>
      </c>
      <c r="D431" s="62"/>
      <c r="E431" s="6">
        <v>41000</v>
      </c>
      <c r="F431" s="6">
        <v>43000</v>
      </c>
      <c r="G431" s="127">
        <f t="shared" si="13"/>
        <v>0.04878048780487805</v>
      </c>
    </row>
    <row r="432" spans="1:7" s="56" customFormat="1" ht="16.5">
      <c r="A432" s="3">
        <f>IF(E432="","",COUNTA($E432:E$600))</f>
        <v>43</v>
      </c>
      <c r="B432" s="49" t="s">
        <v>260</v>
      </c>
      <c r="C432" s="21" t="s">
        <v>984</v>
      </c>
      <c r="D432" s="62"/>
      <c r="E432" s="6">
        <v>68000</v>
      </c>
      <c r="F432" s="6">
        <v>68000</v>
      </c>
      <c r="G432" s="127">
        <f t="shared" si="13"/>
        <v>0</v>
      </c>
    </row>
    <row r="433" spans="1:7" s="56" customFormat="1" ht="16.5">
      <c r="A433" s="3">
        <f>IF(E433="","",COUNTA($E433:E$600))</f>
        <v>42</v>
      </c>
      <c r="B433" s="49" t="s">
        <v>261</v>
      </c>
      <c r="C433" s="21" t="s">
        <v>984</v>
      </c>
      <c r="D433" s="62"/>
      <c r="E433" s="6">
        <v>68000</v>
      </c>
      <c r="F433" s="6">
        <v>68000</v>
      </c>
      <c r="G433" s="127">
        <f t="shared" si="13"/>
        <v>0</v>
      </c>
    </row>
    <row r="434" spans="1:7" s="56" customFormat="1" ht="16.5">
      <c r="A434" s="3">
        <f>IF(E434="","",COUNTA($E434:E$600))</f>
        <v>41</v>
      </c>
      <c r="B434" s="49" t="s">
        <v>262</v>
      </c>
      <c r="C434" s="21" t="s">
        <v>984</v>
      </c>
      <c r="D434" s="62"/>
      <c r="E434" s="6">
        <v>68000</v>
      </c>
      <c r="F434" s="6">
        <v>68000</v>
      </c>
      <c r="G434" s="127">
        <f t="shared" si="13"/>
        <v>0</v>
      </c>
    </row>
    <row r="435" spans="1:7" s="56" customFormat="1" ht="16.5">
      <c r="A435" s="3">
        <f>IF(E435="","",COUNTA($E435:E$600))</f>
        <v>40</v>
      </c>
      <c r="B435" s="49" t="s">
        <v>263</v>
      </c>
      <c r="C435" s="21" t="s">
        <v>984</v>
      </c>
      <c r="D435" s="62"/>
      <c r="E435" s="6">
        <v>43000</v>
      </c>
      <c r="F435" s="6">
        <v>43000</v>
      </c>
      <c r="G435" s="127">
        <f t="shared" si="13"/>
        <v>0</v>
      </c>
    </row>
    <row r="436" spans="1:7" s="56" customFormat="1" ht="16.5">
      <c r="A436" s="3">
        <f>IF(E436="","",COUNTA($E436:E$600))</f>
        <v>39</v>
      </c>
      <c r="B436" s="49" t="s">
        <v>264</v>
      </c>
      <c r="C436" s="21" t="s">
        <v>984</v>
      </c>
      <c r="D436" s="62"/>
      <c r="E436" s="6">
        <v>95000</v>
      </c>
      <c r="F436" s="6">
        <v>95000</v>
      </c>
      <c r="G436" s="127">
        <f t="shared" si="13"/>
        <v>0</v>
      </c>
    </row>
    <row r="437" spans="1:7" s="56" customFormat="1" ht="17.25">
      <c r="A437" s="3">
        <f>IF(E437="","",COUNTA($E437:E$600))</f>
      </c>
      <c r="B437" s="112" t="s">
        <v>265</v>
      </c>
      <c r="C437" s="20"/>
      <c r="D437" s="62"/>
      <c r="E437" s="107"/>
      <c r="F437" s="107"/>
      <c r="G437" s="127"/>
    </row>
    <row r="438" spans="1:7" s="56" customFormat="1" ht="16.5">
      <c r="A438" s="3">
        <f>IF(E438="","",COUNTA($E438:E$600))</f>
        <v>38</v>
      </c>
      <c r="B438" s="49" t="s">
        <v>266</v>
      </c>
      <c r="C438" s="21" t="s">
        <v>984</v>
      </c>
      <c r="D438" s="62"/>
      <c r="E438" s="6">
        <v>27000</v>
      </c>
      <c r="F438" s="6">
        <v>27400</v>
      </c>
      <c r="G438" s="127">
        <f t="shared" si="13"/>
        <v>0.014814814814814815</v>
      </c>
    </row>
    <row r="439" spans="1:7" s="56" customFormat="1" ht="16.5">
      <c r="A439" s="3">
        <f>IF(E439="","",COUNTA($E439:E$600))</f>
        <v>37</v>
      </c>
      <c r="B439" s="49" t="s">
        <v>258</v>
      </c>
      <c r="C439" s="21" t="s">
        <v>984</v>
      </c>
      <c r="D439" s="62"/>
      <c r="E439" s="6">
        <v>45000</v>
      </c>
      <c r="F439" s="6">
        <v>46000</v>
      </c>
      <c r="G439" s="127">
        <f t="shared" si="13"/>
        <v>0.022222222222222223</v>
      </c>
    </row>
    <row r="440" spans="1:7" s="56" customFormat="1" ht="16.5">
      <c r="A440" s="3">
        <f>IF(E440="","",COUNTA($E440:E$600))</f>
        <v>36</v>
      </c>
      <c r="B440" s="49" t="s">
        <v>267</v>
      </c>
      <c r="C440" s="21" t="s">
        <v>984</v>
      </c>
      <c r="D440" s="62"/>
      <c r="E440" s="6">
        <v>45000</v>
      </c>
      <c r="F440" s="6">
        <v>46000</v>
      </c>
      <c r="G440" s="127">
        <f t="shared" si="13"/>
        <v>0.022222222222222223</v>
      </c>
    </row>
    <row r="441" spans="1:7" s="56" customFormat="1" ht="16.5">
      <c r="A441" s="3">
        <f>IF(E441="","",COUNTA($E441:E$600))</f>
        <v>35</v>
      </c>
      <c r="B441" s="49" t="s">
        <v>268</v>
      </c>
      <c r="C441" s="21" t="s">
        <v>984</v>
      </c>
      <c r="D441" s="62"/>
      <c r="E441" s="6">
        <v>45000</v>
      </c>
      <c r="F441" s="6">
        <v>46000</v>
      </c>
      <c r="G441" s="127">
        <f t="shared" si="13"/>
        <v>0.022222222222222223</v>
      </c>
    </row>
    <row r="442" spans="1:7" s="56" customFormat="1" ht="16.5">
      <c r="A442" s="3">
        <f>IF(E442="","",COUNTA($E442:E$600))</f>
        <v>34</v>
      </c>
      <c r="B442" s="49" t="s">
        <v>262</v>
      </c>
      <c r="C442" s="21" t="s">
        <v>984</v>
      </c>
      <c r="D442" s="62"/>
      <c r="E442" s="6">
        <v>68000</v>
      </c>
      <c r="F442" s="6">
        <v>68000</v>
      </c>
      <c r="G442" s="127">
        <f t="shared" si="13"/>
        <v>0</v>
      </c>
    </row>
    <row r="443" spans="1:7" s="56" customFormat="1" ht="16.5">
      <c r="A443" s="3">
        <f>IF(E443="","",COUNTA($E443:E$600))</f>
        <v>33</v>
      </c>
      <c r="B443" s="49" t="s">
        <v>269</v>
      </c>
      <c r="C443" s="21" t="s">
        <v>984</v>
      </c>
      <c r="D443" s="62"/>
      <c r="E443" s="6">
        <v>68000</v>
      </c>
      <c r="F443" s="6">
        <v>68000</v>
      </c>
      <c r="G443" s="127">
        <f t="shared" si="13"/>
        <v>0</v>
      </c>
    </row>
    <row r="444" spans="1:7" s="56" customFormat="1" ht="16.5">
      <c r="A444" s="3">
        <f>IF(E444="","",COUNTA($E444:E$600))</f>
        <v>32</v>
      </c>
      <c r="B444" s="49" t="s">
        <v>264</v>
      </c>
      <c r="C444" s="21" t="s">
        <v>984</v>
      </c>
      <c r="D444" s="62"/>
      <c r="E444" s="6">
        <v>95000</v>
      </c>
      <c r="F444" s="6">
        <v>95000</v>
      </c>
      <c r="G444" s="127">
        <f t="shared" si="13"/>
        <v>0</v>
      </c>
    </row>
    <row r="445" spans="1:7" s="56" customFormat="1" ht="17.25">
      <c r="A445" s="3">
        <f>IF(E445="","",COUNTA($E445:E$600))</f>
      </c>
      <c r="B445" s="112" t="s">
        <v>270</v>
      </c>
      <c r="C445" s="20"/>
      <c r="D445" s="62"/>
      <c r="E445" s="107"/>
      <c r="F445" s="107"/>
      <c r="G445" s="127"/>
    </row>
    <row r="446" spans="1:7" s="56" customFormat="1" ht="16.5">
      <c r="A446" s="3">
        <f>IF(E446="","",COUNTA($E446:E$600))</f>
        <v>31</v>
      </c>
      <c r="B446" s="49" t="s">
        <v>257</v>
      </c>
      <c r="C446" s="21" t="s">
        <v>984</v>
      </c>
      <c r="D446" s="62"/>
      <c r="E446" s="45">
        <v>27000</v>
      </c>
      <c r="F446" s="45">
        <v>27200</v>
      </c>
      <c r="G446" s="127">
        <f t="shared" si="13"/>
        <v>0.007407407407407408</v>
      </c>
    </row>
    <row r="447" spans="1:7" s="56" customFormat="1" ht="16.5">
      <c r="A447" s="3">
        <f>IF(E447="","",COUNTA($E447:E$600))</f>
        <v>30</v>
      </c>
      <c r="B447" s="49" t="s">
        <v>258</v>
      </c>
      <c r="C447" s="21" t="s">
        <v>984</v>
      </c>
      <c r="D447" s="62"/>
      <c r="E447" s="45">
        <v>43000</v>
      </c>
      <c r="F447" s="45">
        <v>45000</v>
      </c>
      <c r="G447" s="127">
        <f t="shared" si="13"/>
        <v>0.046511627906976744</v>
      </c>
    </row>
    <row r="448" spans="1:7" s="56" customFormat="1" ht="16.5">
      <c r="A448" s="3">
        <f>IF(E448="","",COUNTA($E448:E$600))</f>
        <v>29</v>
      </c>
      <c r="B448" s="49" t="s">
        <v>259</v>
      </c>
      <c r="C448" s="21" t="s">
        <v>984</v>
      </c>
      <c r="D448" s="62"/>
      <c r="E448" s="45">
        <v>43000</v>
      </c>
      <c r="F448" s="45">
        <v>45000</v>
      </c>
      <c r="G448" s="127">
        <f t="shared" si="13"/>
        <v>0.046511627906976744</v>
      </c>
    </row>
    <row r="449" spans="1:7" s="56" customFormat="1" ht="16.5">
      <c r="A449" s="3">
        <f>IF(E449="","",COUNTA($E449:E$600))</f>
        <v>28</v>
      </c>
      <c r="B449" s="49" t="s">
        <v>260</v>
      </c>
      <c r="C449" s="21" t="s">
        <v>984</v>
      </c>
      <c r="D449" s="62"/>
      <c r="E449" s="45">
        <v>68000</v>
      </c>
      <c r="F449" s="45">
        <v>70000</v>
      </c>
      <c r="G449" s="127">
        <f t="shared" si="13"/>
        <v>0.029411764705882353</v>
      </c>
    </row>
    <row r="450" spans="1:7" s="56" customFormat="1" ht="16.5">
      <c r="A450" s="3">
        <f>IF(E450="","",COUNTA($E450:E$600))</f>
        <v>27</v>
      </c>
      <c r="B450" s="49" t="s">
        <v>261</v>
      </c>
      <c r="C450" s="21" t="s">
        <v>984</v>
      </c>
      <c r="D450" s="62"/>
      <c r="E450" s="45">
        <v>68000</v>
      </c>
      <c r="F450" s="45">
        <v>70000</v>
      </c>
      <c r="G450" s="127">
        <f t="shared" si="13"/>
        <v>0.029411764705882353</v>
      </c>
    </row>
    <row r="451" spans="1:7" s="56" customFormat="1" ht="16.5">
      <c r="A451" s="3">
        <f>IF(E451="","",COUNTA($E451:E$600))</f>
        <v>26</v>
      </c>
      <c r="B451" s="49" t="s">
        <v>262</v>
      </c>
      <c r="C451" s="21" t="s">
        <v>984</v>
      </c>
      <c r="D451" s="62"/>
      <c r="E451" s="45">
        <v>68000</v>
      </c>
      <c r="F451" s="45">
        <v>70000</v>
      </c>
      <c r="G451" s="127">
        <f t="shared" si="13"/>
        <v>0.029411764705882353</v>
      </c>
    </row>
    <row r="452" spans="1:7" s="56" customFormat="1" ht="16.5">
      <c r="A452" s="3">
        <f>IF(E452="","",COUNTA($E452:E$600))</f>
        <v>25</v>
      </c>
      <c r="B452" s="49" t="s">
        <v>263</v>
      </c>
      <c r="C452" s="21" t="s">
        <v>984</v>
      </c>
      <c r="D452" s="62"/>
      <c r="E452" s="45">
        <v>45000</v>
      </c>
      <c r="F452" s="45">
        <v>48000</v>
      </c>
      <c r="G452" s="127">
        <f t="shared" si="13"/>
        <v>0.06666666666666667</v>
      </c>
    </row>
    <row r="453" spans="1:7" s="56" customFormat="1" ht="17.25">
      <c r="A453" s="3">
        <f>IF(E453="","",COUNTA($E453:E$600))</f>
      </c>
      <c r="B453" s="112" t="s">
        <v>271</v>
      </c>
      <c r="C453" s="20"/>
      <c r="D453" s="62"/>
      <c r="E453" s="48"/>
      <c r="F453" s="48"/>
      <c r="G453" s="127"/>
    </row>
    <row r="454" spans="1:7" s="56" customFormat="1" ht="16.5">
      <c r="A454" s="3">
        <f>IF(E454="","",COUNTA($E454:E$600))</f>
        <v>24</v>
      </c>
      <c r="B454" s="49" t="s">
        <v>272</v>
      </c>
      <c r="C454" s="21" t="s">
        <v>984</v>
      </c>
      <c r="D454" s="62"/>
      <c r="E454" s="45">
        <v>18000</v>
      </c>
      <c r="F454" s="45">
        <v>18000</v>
      </c>
      <c r="G454" s="127">
        <f t="shared" si="13"/>
        <v>0</v>
      </c>
    </row>
    <row r="455" spans="1:7" s="56" customFormat="1" ht="16.5">
      <c r="A455" s="3">
        <f>IF(E455="","",COUNTA($E455:E$600))</f>
        <v>23</v>
      </c>
      <c r="B455" s="49" t="s">
        <v>258</v>
      </c>
      <c r="C455" s="21" t="s">
        <v>984</v>
      </c>
      <c r="D455" s="62"/>
      <c r="E455" s="45">
        <v>46000</v>
      </c>
      <c r="F455" s="45">
        <v>48000</v>
      </c>
      <c r="G455" s="127">
        <f t="shared" si="13"/>
        <v>0.043478260869565216</v>
      </c>
    </row>
    <row r="456" spans="1:7" s="56" customFormat="1" ht="16.5">
      <c r="A456" s="3">
        <f>IF(E456="","",COUNTA($E456:E$600))</f>
        <v>22</v>
      </c>
      <c r="B456" s="49" t="s">
        <v>267</v>
      </c>
      <c r="C456" s="21" t="s">
        <v>984</v>
      </c>
      <c r="D456" s="62"/>
      <c r="E456" s="45">
        <v>46000</v>
      </c>
      <c r="F456" s="45">
        <v>48000</v>
      </c>
      <c r="G456" s="127">
        <f t="shared" si="13"/>
        <v>0.043478260869565216</v>
      </c>
    </row>
    <row r="457" spans="1:7" s="56" customFormat="1" ht="16.5">
      <c r="A457" s="3">
        <f>IF(E457="","",COUNTA($E457:E$600))</f>
        <v>21</v>
      </c>
      <c r="B457" s="49" t="s">
        <v>268</v>
      </c>
      <c r="C457" s="21" t="s">
        <v>984</v>
      </c>
      <c r="D457" s="62"/>
      <c r="E457" s="45">
        <v>46000</v>
      </c>
      <c r="F457" s="45">
        <v>48000</v>
      </c>
      <c r="G457" s="127">
        <f t="shared" si="13"/>
        <v>0.043478260869565216</v>
      </c>
    </row>
    <row r="458" spans="1:7" s="56" customFormat="1" ht="16.5">
      <c r="A458" s="3">
        <f>IF(E458="","",COUNTA($E458:E$600))</f>
        <v>20</v>
      </c>
      <c r="B458" s="49" t="s">
        <v>262</v>
      </c>
      <c r="C458" s="21" t="s">
        <v>984</v>
      </c>
      <c r="D458" s="62"/>
      <c r="E458" s="45">
        <v>68000</v>
      </c>
      <c r="F458" s="45">
        <v>70000</v>
      </c>
      <c r="G458" s="127">
        <f t="shared" si="13"/>
        <v>0.029411764705882353</v>
      </c>
    </row>
    <row r="459" spans="1:7" s="56" customFormat="1" ht="16.5">
      <c r="A459" s="3">
        <f>IF(E459="","",COUNTA($E459:E$600))</f>
        <v>19</v>
      </c>
      <c r="B459" s="49" t="s">
        <v>269</v>
      </c>
      <c r="C459" s="21" t="s">
        <v>984</v>
      </c>
      <c r="D459" s="62"/>
      <c r="E459" s="45">
        <v>68000</v>
      </c>
      <c r="F459" s="45">
        <v>70000</v>
      </c>
      <c r="G459" s="127">
        <f t="shared" si="13"/>
        <v>0.029411764705882353</v>
      </c>
    </row>
    <row r="460" spans="1:7" s="56" customFormat="1" ht="17.25">
      <c r="A460" s="3">
        <f>IF(E460="","",COUNTA($E460:E$600))</f>
      </c>
      <c r="B460" s="112" t="s">
        <v>273</v>
      </c>
      <c r="C460" s="20"/>
      <c r="D460" s="62"/>
      <c r="E460" s="107"/>
      <c r="F460" s="107"/>
      <c r="G460" s="127"/>
    </row>
    <row r="461" spans="1:7" s="56" customFormat="1" ht="16.5">
      <c r="A461" s="3">
        <f>IF(E461="","",COUNTA($E461:E$600))</f>
        <v>18</v>
      </c>
      <c r="B461" s="49" t="s">
        <v>274</v>
      </c>
      <c r="C461" s="21" t="s">
        <v>984</v>
      </c>
      <c r="D461" s="62"/>
      <c r="E461" s="107">
        <v>15200</v>
      </c>
      <c r="F461" s="107">
        <v>15500</v>
      </c>
      <c r="G461" s="127">
        <f t="shared" si="13"/>
        <v>0.019736842105263157</v>
      </c>
    </row>
    <row r="462" spans="1:7" s="56" customFormat="1" ht="16.5">
      <c r="A462" s="3">
        <f>IF(E462="","",COUNTA($E462:E$600))</f>
        <v>17</v>
      </c>
      <c r="B462" s="49" t="s">
        <v>258</v>
      </c>
      <c r="C462" s="21" t="s">
        <v>984</v>
      </c>
      <c r="D462" s="62"/>
      <c r="E462" s="45">
        <v>28000</v>
      </c>
      <c r="F462" s="45">
        <v>29000</v>
      </c>
      <c r="G462" s="127">
        <f t="shared" si="13"/>
        <v>0.03571428571428571</v>
      </c>
    </row>
    <row r="463" spans="1:7" s="56" customFormat="1" ht="16.5">
      <c r="A463" s="3">
        <f>IF(E463="","",COUNTA($E463:E$600))</f>
        <v>16</v>
      </c>
      <c r="B463" s="49" t="s">
        <v>259</v>
      </c>
      <c r="C463" s="21" t="s">
        <v>984</v>
      </c>
      <c r="D463" s="62"/>
      <c r="E463" s="45">
        <v>28000</v>
      </c>
      <c r="F463" s="45">
        <v>29000</v>
      </c>
      <c r="G463" s="127">
        <f t="shared" si="13"/>
        <v>0.03571428571428571</v>
      </c>
    </row>
    <row r="464" spans="1:7" s="56" customFormat="1" ht="16.5">
      <c r="A464" s="3">
        <f>IF(E464="","",COUNTA($E464:E$600))</f>
        <v>15</v>
      </c>
      <c r="B464" s="49" t="s">
        <v>263</v>
      </c>
      <c r="C464" s="21" t="s">
        <v>984</v>
      </c>
      <c r="D464" s="62"/>
      <c r="E464" s="45">
        <v>28000</v>
      </c>
      <c r="F464" s="45">
        <v>29000</v>
      </c>
      <c r="G464" s="127">
        <f t="shared" si="13"/>
        <v>0.03571428571428571</v>
      </c>
    </row>
    <row r="465" spans="1:7" s="56" customFormat="1" ht="16.5">
      <c r="A465" s="3">
        <f>IF(E465="","",COUNTA($E465:E$600))</f>
        <v>14</v>
      </c>
      <c r="B465" s="49" t="s">
        <v>269</v>
      </c>
      <c r="C465" s="21" t="s">
        <v>984</v>
      </c>
      <c r="D465" s="62"/>
      <c r="E465" s="45">
        <v>53000</v>
      </c>
      <c r="F465" s="45">
        <v>53000</v>
      </c>
      <c r="G465" s="127">
        <f t="shared" si="13"/>
        <v>0</v>
      </c>
    </row>
    <row r="466" spans="1:7" s="56" customFormat="1" ht="16.5">
      <c r="A466" s="3">
        <f>IF(E466="","",COUNTA($E466:E$600))</f>
        <v>13</v>
      </c>
      <c r="B466" s="49" t="s">
        <v>275</v>
      </c>
      <c r="C466" s="21" t="s">
        <v>984</v>
      </c>
      <c r="D466" s="62"/>
      <c r="E466" s="45">
        <v>53000</v>
      </c>
      <c r="F466" s="45">
        <v>53000</v>
      </c>
      <c r="G466" s="127">
        <f t="shared" si="13"/>
        <v>0</v>
      </c>
    </row>
    <row r="467" spans="1:7" s="56" customFormat="1" ht="16.5">
      <c r="A467" s="3">
        <f>IF(E467="","",COUNTA($E467:E$600))</f>
        <v>12</v>
      </c>
      <c r="B467" s="49" t="s">
        <v>276</v>
      </c>
      <c r="C467" s="21" t="s">
        <v>984</v>
      </c>
      <c r="D467" s="62"/>
      <c r="E467" s="45">
        <v>63000</v>
      </c>
      <c r="F467" s="45">
        <v>63000</v>
      </c>
      <c r="G467" s="127">
        <f t="shared" si="13"/>
        <v>0</v>
      </c>
    </row>
    <row r="468" spans="1:7" s="56" customFormat="1" ht="16.5">
      <c r="A468" s="3">
        <f>IF(E468="","",COUNTA($E468:E$600))</f>
        <v>11</v>
      </c>
      <c r="B468" s="49" t="s">
        <v>277</v>
      </c>
      <c r="C468" s="21" t="s">
        <v>984</v>
      </c>
      <c r="D468" s="62"/>
      <c r="E468" s="45">
        <v>63000</v>
      </c>
      <c r="F468" s="45">
        <v>63000</v>
      </c>
      <c r="G468" s="127">
        <f t="shared" si="13"/>
        <v>0</v>
      </c>
    </row>
    <row r="469" spans="1:7" s="56" customFormat="1" ht="16.5">
      <c r="A469" s="3">
        <f>IF(E469="","",COUNTA($E469:E$600))</f>
        <v>10</v>
      </c>
      <c r="B469" s="49" t="s">
        <v>278</v>
      </c>
      <c r="C469" s="21" t="s">
        <v>984</v>
      </c>
      <c r="D469" s="62"/>
      <c r="E469" s="45">
        <v>73000</v>
      </c>
      <c r="F469" s="45">
        <v>73000</v>
      </c>
      <c r="G469" s="127">
        <f t="shared" si="13"/>
        <v>0</v>
      </c>
    </row>
    <row r="470" spans="1:7" s="56" customFormat="1" ht="16.5">
      <c r="A470" s="3">
        <f>IF(E470="","",COUNTA($E470:E$600))</f>
        <v>9</v>
      </c>
      <c r="B470" s="49" t="s">
        <v>262</v>
      </c>
      <c r="C470" s="21" t="s">
        <v>984</v>
      </c>
      <c r="D470" s="62"/>
      <c r="E470" s="45">
        <v>58000</v>
      </c>
      <c r="F470" s="45">
        <v>58000</v>
      </c>
      <c r="G470" s="127">
        <f t="shared" si="13"/>
        <v>0</v>
      </c>
    </row>
    <row r="471" spans="1:7" s="56" customFormat="1" ht="17.25">
      <c r="A471" s="3">
        <f>IF(E471="","",COUNTA($E471:E$600))</f>
      </c>
      <c r="B471" s="112" t="s">
        <v>279</v>
      </c>
      <c r="C471" s="20"/>
      <c r="D471" s="62"/>
      <c r="E471" s="107"/>
      <c r="F471" s="107"/>
      <c r="G471" s="127"/>
    </row>
    <row r="472" spans="1:7" s="56" customFormat="1" ht="16.5">
      <c r="A472" s="3">
        <f>IF(E472="","",COUNTA($E472:E$600))</f>
        <v>8</v>
      </c>
      <c r="B472" s="50" t="s">
        <v>280</v>
      </c>
      <c r="C472" s="21" t="s">
        <v>984</v>
      </c>
      <c r="D472" s="62"/>
      <c r="E472" s="107">
        <v>14455</v>
      </c>
      <c r="F472" s="107">
        <v>15636</v>
      </c>
      <c r="G472" s="127">
        <f t="shared" si="13"/>
        <v>0.08170183327568316</v>
      </c>
    </row>
    <row r="473" spans="1:7" s="56" customFormat="1" ht="16.5">
      <c r="A473" s="3">
        <f>IF(E473="","",COUNTA($E473:E$600))</f>
        <v>7</v>
      </c>
      <c r="B473" s="49" t="s">
        <v>281</v>
      </c>
      <c r="C473" s="21" t="s">
        <v>984</v>
      </c>
      <c r="D473" s="62"/>
      <c r="E473" s="45">
        <v>16818</v>
      </c>
      <c r="F473" s="45">
        <v>16818</v>
      </c>
      <c r="G473" s="127">
        <f t="shared" si="13"/>
        <v>0</v>
      </c>
    </row>
    <row r="474" spans="1:7" s="56" customFormat="1" ht="16.5">
      <c r="A474" s="3">
        <f>IF(E474="","",COUNTA($E474:E$600))</f>
        <v>6</v>
      </c>
      <c r="B474" s="49" t="s">
        <v>258</v>
      </c>
      <c r="C474" s="21" t="s">
        <v>984</v>
      </c>
      <c r="D474" s="62"/>
      <c r="E474" s="45">
        <v>23000</v>
      </c>
      <c r="F474" s="45">
        <v>24000</v>
      </c>
      <c r="G474" s="127">
        <f t="shared" si="13"/>
        <v>0.043478260869565216</v>
      </c>
    </row>
    <row r="475" spans="1:7" s="56" customFormat="1" ht="16.5">
      <c r="A475" s="3">
        <f>IF(E475="","",COUNTA($E475:E$600))</f>
        <v>5</v>
      </c>
      <c r="B475" s="49" t="s">
        <v>259</v>
      </c>
      <c r="C475" s="21" t="s">
        <v>984</v>
      </c>
      <c r="D475" s="62"/>
      <c r="E475" s="45">
        <v>23000</v>
      </c>
      <c r="F475" s="45">
        <v>24000</v>
      </c>
      <c r="G475" s="127">
        <f t="shared" si="13"/>
        <v>0.043478260869565216</v>
      </c>
    </row>
    <row r="476" spans="1:7" s="56" customFormat="1" ht="16.5">
      <c r="A476" s="3">
        <f>IF(E476="","",COUNTA($E476:E$600))</f>
        <v>4</v>
      </c>
      <c r="B476" s="49" t="s">
        <v>260</v>
      </c>
      <c r="C476" s="21" t="s">
        <v>984</v>
      </c>
      <c r="D476" s="62"/>
      <c r="E476" s="45">
        <v>53000</v>
      </c>
      <c r="F476" s="45">
        <v>58000</v>
      </c>
      <c r="G476" s="127">
        <f t="shared" si="13"/>
        <v>0.09433962264150944</v>
      </c>
    </row>
    <row r="477" spans="1:7" s="56" customFormat="1" ht="16.5">
      <c r="A477" s="3">
        <f>IF(E477="","",COUNTA($E477:E$600))</f>
        <v>3</v>
      </c>
      <c r="B477" s="49" t="s">
        <v>261</v>
      </c>
      <c r="C477" s="21" t="s">
        <v>984</v>
      </c>
      <c r="D477" s="62"/>
      <c r="E477" s="45">
        <v>73000</v>
      </c>
      <c r="F477" s="45">
        <v>78000</v>
      </c>
      <c r="G477" s="127">
        <f t="shared" si="13"/>
        <v>0.0684931506849315</v>
      </c>
    </row>
    <row r="478" spans="1:7" s="56" customFormat="1" ht="16.5">
      <c r="A478" s="3">
        <f>IF(E478="","",COUNTA($E478:E$600))</f>
        <v>2</v>
      </c>
      <c r="B478" s="49" t="s">
        <v>282</v>
      </c>
      <c r="C478" s="21" t="s">
        <v>984</v>
      </c>
      <c r="D478" s="62"/>
      <c r="E478" s="45">
        <v>93000</v>
      </c>
      <c r="F478" s="45">
        <v>93000</v>
      </c>
      <c r="G478" s="127">
        <f t="shared" si="13"/>
        <v>0</v>
      </c>
    </row>
    <row r="479" spans="1:7" s="56" customFormat="1" ht="16.5">
      <c r="A479" s="3">
        <f>IF(E479="","",COUNTA($E479:E$600))</f>
        <v>1</v>
      </c>
      <c r="B479" s="49" t="s">
        <v>283</v>
      </c>
      <c r="C479" s="21" t="s">
        <v>1116</v>
      </c>
      <c r="D479" s="62"/>
      <c r="E479" s="45">
        <v>93000</v>
      </c>
      <c r="F479" s="45">
        <v>93000</v>
      </c>
      <c r="G479" s="127">
        <f t="shared" si="13"/>
        <v>0</v>
      </c>
    </row>
  </sheetData>
  <sheetProtection/>
  <mergeCells count="32">
    <mergeCell ref="D146:D148"/>
    <mergeCell ref="D124:D126"/>
    <mergeCell ref="D129:D130"/>
    <mergeCell ref="D131:D133"/>
    <mergeCell ref="D134:D135"/>
    <mergeCell ref="D109:D110"/>
    <mergeCell ref="D112:D113"/>
    <mergeCell ref="D114:D118"/>
    <mergeCell ref="D119:D123"/>
    <mergeCell ref="D136:D140"/>
    <mergeCell ref="D141:D145"/>
    <mergeCell ref="D90:D92"/>
    <mergeCell ref="D93:D94"/>
    <mergeCell ref="D95:D99"/>
    <mergeCell ref="D100:D101"/>
    <mergeCell ref="D102:D105"/>
    <mergeCell ref="D107:D108"/>
    <mergeCell ref="D70:D71"/>
    <mergeCell ref="D72:D76"/>
    <mergeCell ref="D77:D80"/>
    <mergeCell ref="D81:D82"/>
    <mergeCell ref="D83:D86"/>
    <mergeCell ref="D88:D89"/>
    <mergeCell ref="D60:D63"/>
    <mergeCell ref="D65:D66"/>
    <mergeCell ref="D67:D69"/>
    <mergeCell ref="D42:D43"/>
    <mergeCell ref="D44:D46"/>
    <mergeCell ref="D47:D48"/>
    <mergeCell ref="D49:D53"/>
    <mergeCell ref="D54:D55"/>
    <mergeCell ref="D56:D59"/>
  </mergeCells>
  <printOptions/>
  <pageMargins left="0.7" right="0.7" top="0.75" bottom="0.75" header="0.3" footer="0.3"/>
  <pageSetup horizontalDpi="300" verticalDpi="3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c:creator>
  <cp:keywords/>
  <dc:description/>
  <cp:lastModifiedBy>PC</cp:lastModifiedBy>
  <cp:lastPrinted>2023-03-09T09:12:58Z</cp:lastPrinted>
  <dcterms:created xsi:type="dcterms:W3CDTF">2021-11-29T01:22:50Z</dcterms:created>
  <dcterms:modified xsi:type="dcterms:W3CDTF">2023-04-07T02:46:54Z</dcterms:modified>
  <cp:category/>
  <cp:version/>
  <cp:contentType/>
  <cp:contentStatus/>
</cp:coreProperties>
</file>